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2675" activeTab="2"/>
  </bookViews>
  <sheets>
    <sheet name="高中组成绩表" sheetId="15" r:id="rId1"/>
    <sheet name="初中组成绩表" sheetId="1" r:id="rId2"/>
    <sheet name="小学组成绩表" sheetId="19" r:id="rId3"/>
  </sheets>
  <definedNames>
    <definedName name="_xlnm.Print_Titles" localSheetId="1">初中组成绩表!$1:$2</definedName>
    <definedName name="_xlnm._FilterDatabase" localSheetId="1" hidden="1">初中组成绩表!$A$1:$K$29</definedName>
    <definedName name="_xlnm.Print_Titles" localSheetId="0">高中组成绩表!$1:$2</definedName>
    <definedName name="_xlnm.Print_Titles" localSheetId="2">小学组成绩表!$1:$2</definedName>
    <definedName name="_xlnm._FilterDatabase" localSheetId="2" hidden="1">小学组成绩表!$A$1:$K$51</definedName>
  </definedNames>
  <calcPr calcId="144525"/>
</workbook>
</file>

<file path=xl/sharedStrings.xml><?xml version="1.0" encoding="utf-8"?>
<sst xmlns="http://schemas.openxmlformats.org/spreadsheetml/2006/main" count="554" uniqueCount="319">
  <si>
    <t>第二十五届广东省青少年机器人竞赛智慧城市比赛成绩表（高中组）</t>
  </si>
  <si>
    <t>序号</t>
  </si>
  <si>
    <t>地市</t>
  </si>
  <si>
    <t>学校名称</t>
  </si>
  <si>
    <t>参赛选手</t>
  </si>
  <si>
    <t>教练员</t>
  </si>
  <si>
    <t>第一轮
分数</t>
  </si>
  <si>
    <t>第一轮
完成时间</t>
  </si>
  <si>
    <t>第二轮
分数</t>
  </si>
  <si>
    <t>第二轮
完成时间</t>
  </si>
  <si>
    <t>总成绩</t>
  </si>
  <si>
    <t>总用时</t>
  </si>
  <si>
    <t>奖项</t>
  </si>
  <si>
    <t>中山市</t>
  </si>
  <si>
    <t>中山市华侨中学</t>
  </si>
  <si>
    <t>周济程、方正</t>
  </si>
  <si>
    <t>杨正</t>
  </si>
  <si>
    <t>一等奖</t>
  </si>
  <si>
    <t>广州市</t>
  </si>
  <si>
    <t>广州协和学校</t>
  </si>
  <si>
    <t>刘凯琪、李雨桐</t>
  </si>
  <si>
    <t>邬志兴、秦志朋</t>
  </si>
  <si>
    <t>中山市建斌职业技术学校</t>
  </si>
  <si>
    <t>杨熙、雷旭彦</t>
  </si>
  <si>
    <t>林坚泉</t>
  </si>
  <si>
    <t>茂名市</t>
  </si>
  <si>
    <t>信宜市信宜中学</t>
  </si>
  <si>
    <t>冼子喻、李芳菲</t>
  </si>
  <si>
    <t>巫金凤、王良</t>
  </si>
  <si>
    <t>揭阳市</t>
  </si>
  <si>
    <t>华南师范大学附属普宁学校</t>
  </si>
  <si>
    <t>曾健鹏、陈嘉彤</t>
  </si>
  <si>
    <t>李润钿、张晓滋</t>
  </si>
  <si>
    <t>二等奖</t>
  </si>
  <si>
    <t>清远市</t>
  </si>
  <si>
    <t>清远市华侨中学</t>
  </si>
  <si>
    <t>陈乐祺、李弘毅</t>
  </si>
  <si>
    <t>郭倩蕴、李庆强</t>
  </si>
  <si>
    <t>珠海市</t>
  </si>
  <si>
    <t>珠海市第二中学</t>
  </si>
  <si>
    <t>万栩睿、伍芷萱</t>
  </si>
  <si>
    <t>甘建城、王海</t>
  </si>
  <si>
    <t>深圳市</t>
  </si>
  <si>
    <t>深圳市新安中学(集团)</t>
  </si>
  <si>
    <t>王子睿、刘浩宇</t>
  </si>
  <si>
    <t>陈力忠、何虹墨</t>
  </si>
  <si>
    <t>湛江市</t>
  </si>
  <si>
    <t>湛江市第四中学</t>
  </si>
  <si>
    <t>林参锋、陈麒任</t>
  </si>
  <si>
    <t>龙其忠、卢雪怡</t>
  </si>
  <si>
    <t>阳江市</t>
  </si>
  <si>
    <t>阳江市第一中学</t>
  </si>
  <si>
    <t>林锦派、林子量</t>
  </si>
  <si>
    <t>刘家华、黄政钧</t>
  </si>
  <si>
    <t>周子淇、王锦林</t>
  </si>
  <si>
    <t>甘建城、曹远</t>
  </si>
  <si>
    <t>河源市</t>
  </si>
  <si>
    <t>广东省东源县东源中学</t>
  </si>
  <si>
    <t>赖雪菲、缪宇</t>
  </si>
  <si>
    <t>江粤、胡越</t>
  </si>
  <si>
    <t>普宁市第二中学</t>
  </si>
  <si>
    <t>杨森钿、田杰</t>
  </si>
  <si>
    <t>黄水燕</t>
  </si>
  <si>
    <t>惠州市</t>
  </si>
  <si>
    <t>惠东县惠东高级中学</t>
  </si>
  <si>
    <t>林嘉华、蔡文浩</t>
  </si>
  <si>
    <t>朱代超、郑建源</t>
  </si>
  <si>
    <t>三等奖</t>
  </si>
  <si>
    <t>河源市河源中学</t>
  </si>
  <si>
    <t>黄旭鹏、李力维</t>
  </si>
  <si>
    <t>何南天、杨秋菊</t>
  </si>
  <si>
    <t>惠州市实验中学</t>
  </si>
  <si>
    <t>邓宇发、李凌薇</t>
  </si>
  <si>
    <t>钟新辉、张思圆</t>
  </si>
  <si>
    <t>云浮市</t>
  </si>
  <si>
    <t>云浮市黄岗实验中学</t>
  </si>
  <si>
    <t>叶滨钜、叶滨宇</t>
  </si>
  <si>
    <t>方帅东、梁梓焕</t>
  </si>
  <si>
    <t>罗定中学城东学校</t>
  </si>
  <si>
    <t>杜威、林旨星</t>
  </si>
  <si>
    <t>廖锐光、黄董</t>
  </si>
  <si>
    <t>佛山市</t>
  </si>
  <si>
    <t>佛山市南海区理工职业技术学校</t>
  </si>
  <si>
    <t>潘子康、陈志辉</t>
  </si>
  <si>
    <t>苏子东、李小龙</t>
  </si>
  <si>
    <t>东莞市</t>
  </si>
  <si>
    <t>东莞市大岭山中学</t>
  </si>
  <si>
    <t>刘佳琪、欧阳葳</t>
  </si>
  <si>
    <t>杨飞燕、邓在汛</t>
  </si>
  <si>
    <t>江门市</t>
  </si>
  <si>
    <t>开平开放大学(开平市综合成人中等专业学校)</t>
  </si>
  <si>
    <t>黄伟棠、杨金亮</t>
  </si>
  <si>
    <t>敖春华、秦英瑞</t>
  </si>
  <si>
    <t>沈东、洪凯源</t>
  </si>
  <si>
    <t>阳江市第一中学、阳江高新技术产业开发区漠南中学</t>
  </si>
  <si>
    <t>梁一言、梁奔奔</t>
  </si>
  <si>
    <t>黄政钧、刘志强</t>
  </si>
  <si>
    <t>谢卫铧、隆晓涛</t>
  </si>
  <si>
    <t>邓在汛、杨飞燕</t>
  </si>
  <si>
    <t>王昭颖、宋臻昊</t>
  </si>
  <si>
    <t>黄锦丽、王小凤</t>
  </si>
  <si>
    <t>佛山市南海区南执高级中学</t>
  </si>
  <si>
    <t>吴洪都、祝梓翔</t>
  </si>
  <si>
    <t>何沂倍</t>
  </si>
  <si>
    <t>第二十五届广东省青少年机器人竞赛智慧城市比赛成绩表（初中组）</t>
  </si>
  <si>
    <t>广东省佛山市三水区乐平中学</t>
  </si>
  <si>
    <t>林炜烨、严广霖</t>
  </si>
  <si>
    <t>邝志鹏、余沿梅</t>
  </si>
  <si>
    <t>梅州市</t>
  </si>
  <si>
    <t>广东梅县外国语学校</t>
  </si>
  <si>
    <t>李奕涵、赖华斌</t>
  </si>
  <si>
    <t>叶俊良、叶峰华</t>
  </si>
  <si>
    <t>曾俊哲、许靖乾</t>
  </si>
  <si>
    <t>秦志朋、邬志兴</t>
  </si>
  <si>
    <t>古佑威、王承恩</t>
  </si>
  <si>
    <t>叶文滔、邝志鹏</t>
  </si>
  <si>
    <t>广州市南沙东涌中学</t>
  </si>
  <si>
    <t>刘柏炜、黎键恒</t>
  </si>
  <si>
    <t>谭少玲、陈玲玲</t>
  </si>
  <si>
    <t>汕头市</t>
  </si>
  <si>
    <t>汕头市第九中学、汕头市金平区巨人实验学校</t>
  </si>
  <si>
    <t>沈煜棋、郑泽旸</t>
  </si>
  <si>
    <t>林宋武</t>
  </si>
  <si>
    <t>中山市东凤镇梅沙实验学校</t>
  </si>
  <si>
    <t>李承泽、刘子泓</t>
  </si>
  <si>
    <t>陈飞、罗翊峰</t>
  </si>
  <si>
    <t>肇庆市</t>
  </si>
  <si>
    <t>肇庆市铁路学校、广东肇庆中学</t>
  </si>
  <si>
    <t>白锦涵、刘嘉喜</t>
  </si>
  <si>
    <t>罗瑞欣、李友</t>
  </si>
  <si>
    <t>陈涛、丘俊棋</t>
  </si>
  <si>
    <t>深圳市新安中学（集团）第一实验学校</t>
  </si>
  <si>
    <t>李宇然、黄子思涵</t>
  </si>
  <si>
    <t>郑泽崇、石睿</t>
  </si>
  <si>
    <t>廖建辉、蓝杰浩</t>
  </si>
  <si>
    <t>黄董、吴晓莲</t>
  </si>
  <si>
    <t>普宁市二实学校</t>
  </si>
  <si>
    <t>余垚光</t>
  </si>
  <si>
    <t>潘友元</t>
  </si>
  <si>
    <t>梁雄星、林芷晴</t>
  </si>
  <si>
    <t>王丹、方帅东</t>
  </si>
  <si>
    <t>陈昊翼、李耿宇</t>
  </si>
  <si>
    <t>李义群、王锐钦</t>
  </si>
  <si>
    <t>汕头市龙湖实验中学</t>
  </si>
  <si>
    <t>赵轩锴、武梓楠</t>
  </si>
  <si>
    <t>林旭、吴晓温</t>
  </si>
  <si>
    <t>江门市江海区景贤初级中学</t>
  </si>
  <si>
    <t>王睿麟、叶梓欣</t>
  </si>
  <si>
    <t>黄苹、姜鹏国</t>
  </si>
  <si>
    <t>三等奖·</t>
  </si>
  <si>
    <t>江门市新会区大鳌中学</t>
  </si>
  <si>
    <t>梁梓皓、王品杰</t>
  </si>
  <si>
    <t>褚祖文、黎锦贵</t>
  </si>
  <si>
    <t>广东肇庆中学、肇庆市端州中学</t>
  </si>
  <si>
    <t>李逸航、李梓铭</t>
  </si>
  <si>
    <t>李友、罗瑞欣</t>
  </si>
  <si>
    <t>广东惠阳高级中学</t>
  </si>
  <si>
    <t>魏锡成、李国锐</t>
  </si>
  <si>
    <t>黄达君、廖靖</t>
  </si>
  <si>
    <t>深圳市新安中学（集团）第二外国语学校</t>
  </si>
  <si>
    <t>吴旭航、姚嘉皓</t>
  </si>
  <si>
    <t>吴宇飞、吴燕纯</t>
  </si>
  <si>
    <t>珠海市梅华中学</t>
  </si>
  <si>
    <t>蔡卓轩、邓卓谦</t>
  </si>
  <si>
    <t>邓刚</t>
  </si>
  <si>
    <t>清远市博爱学校、清远市海德外国语学校</t>
  </si>
  <si>
    <t>段健涛、张哲浩</t>
  </si>
  <si>
    <t>王效影</t>
  </si>
  <si>
    <t>惠州市第一中学</t>
  </si>
  <si>
    <t>吴宇森、胡正浩</t>
  </si>
  <si>
    <t>王舒逸</t>
  </si>
  <si>
    <t>冯芷钰、张裕婷</t>
  </si>
  <si>
    <t>冯虹、徐健梅</t>
  </si>
  <si>
    <t>东莞市寮步华衍学校、东莞市东华初级中学</t>
  </si>
  <si>
    <t>陈钰妍、郑泽宇</t>
  </si>
  <si>
    <t>廖星</t>
  </si>
  <si>
    <t>珠海市凤山中学</t>
  </si>
  <si>
    <t>王晶、曾钒钊</t>
  </si>
  <si>
    <t>田力翔、王志恒</t>
  </si>
  <si>
    <t>东莞市东城旗峰学校</t>
  </si>
  <si>
    <t>黄泳轩、叶宇文</t>
  </si>
  <si>
    <t>罗伟彬、蔡佩倩</t>
  </si>
  <si>
    <t>第二十五届广东省青少年机器人竞赛智慧城市比赛成绩表（小学组）</t>
  </si>
  <si>
    <t>广州市南沙区东涌第一小学</t>
  </si>
  <si>
    <t>刘睿、陈楚翰</t>
  </si>
  <si>
    <t>麦银凤、郑泽健</t>
  </si>
  <si>
    <t>汕头市龙湖区丹霞小学、汕头市华侨试验区金湾学校</t>
  </si>
  <si>
    <t xml:space="preserve"> 林正达、李乐轩</t>
  </si>
  <si>
    <t>张娉</t>
  </si>
  <si>
    <t>梅州市梅县区雁洋镇中心小学</t>
  </si>
  <si>
    <t>黄梓浩、叶镇钦</t>
  </si>
  <si>
    <t>罗利花、叶选奋</t>
  </si>
  <si>
    <t>汕头市龙湖区丹霞小学、汕头市龙湖区嘉晋学校</t>
  </si>
  <si>
    <t>林书晗、卢雅潼</t>
  </si>
  <si>
    <t>普宁国贤学校</t>
  </si>
  <si>
    <t>陈冠烨、覃皓宇</t>
  </si>
  <si>
    <t>庄育韩</t>
  </si>
  <si>
    <t>佛山市三水区西南街道中心小学、佛山市三水区云东海街道博文小学</t>
  </si>
  <si>
    <t>李奕菲、陈智浩</t>
  </si>
  <si>
    <t>吴梦云、李杰</t>
  </si>
  <si>
    <t>中山市菊城小学</t>
  </si>
  <si>
    <t>殷梓烨、江振熙</t>
  </si>
  <si>
    <t>黄浩宏、杨永生</t>
  </si>
  <si>
    <t>汕头市金平区私立广厦学校</t>
  </si>
  <si>
    <t>许宏源、余林凯</t>
  </si>
  <si>
    <t>胡懿涵、高文宇</t>
  </si>
  <si>
    <t>谢文增、谢子扬</t>
  </si>
  <si>
    <t>中山市古镇镇曹三小学</t>
  </si>
  <si>
    <t>肖芷然、王玥淇</t>
  </si>
  <si>
    <t>肖文芹、刘建国</t>
  </si>
  <si>
    <t>陈子轩、陈思瀚</t>
  </si>
  <si>
    <t>郑泽健、傅克胜</t>
  </si>
  <si>
    <t>东莞市松山湖第二小学、东莞松山湖中心小学</t>
  </si>
  <si>
    <t>陈珂珂、韦昌延</t>
  </si>
  <si>
    <t>苟涛、余幼平</t>
  </si>
  <si>
    <t>广州市番禺区金海岸实验学校、广州市南沙区石排小学</t>
  </si>
  <si>
    <t>阙广庭、易振龙</t>
  </si>
  <si>
    <t>王小兵、洪楚扬</t>
  </si>
  <si>
    <t>东莞市寮步华衍学校、东莞市松山湖第二小学</t>
  </si>
  <si>
    <t>邱黎凡、章柏然</t>
  </si>
  <si>
    <t>王逸鑫、黎艳萍</t>
  </si>
  <si>
    <t>佛山市三水区思贤小学</t>
  </si>
  <si>
    <t>赵崇瑾、蓝浩华</t>
  </si>
  <si>
    <t>谢燕珊</t>
  </si>
  <si>
    <t>阳江市阳东正雅学校</t>
  </si>
  <si>
    <t>陈俊宇、冯梓航</t>
  </si>
  <si>
    <t>刘艳芳、朱家震</t>
  </si>
  <si>
    <t>广州市南沙区南涌小学</t>
  </si>
  <si>
    <t>樊子钰、梁伟源</t>
  </si>
  <si>
    <t>谢巨勉、梁斯敏</t>
  </si>
  <si>
    <t>欧阳逸桦、朱致宁</t>
  </si>
  <si>
    <t>刘建国、黄艳平</t>
  </si>
  <si>
    <t>肇庆市第十六小学</t>
  </si>
  <si>
    <t>卢思宇、梁皓博</t>
  </si>
  <si>
    <t>李友、刘璐</t>
  </si>
  <si>
    <t>阳江市科技馆</t>
  </si>
  <si>
    <t>谢昕芮、谢昕然</t>
  </si>
  <si>
    <t>梁耀辉、朱家震</t>
  </si>
  <si>
    <t>佛山市三水区西南街道实验小学、佛山市三水区冠华小学</t>
  </si>
  <si>
    <t>谢天乐、张顺</t>
  </si>
  <si>
    <t>钟炜、旷中玲</t>
  </si>
  <si>
    <t>龚子航、孙文语</t>
  </si>
  <si>
    <t>江悦呈、郑琳琳</t>
  </si>
  <si>
    <t>梅州市梅县区新城中心小学</t>
  </si>
  <si>
    <t>钟珂辰、黄梓恒</t>
  </si>
  <si>
    <t>李权昌、余思思</t>
  </si>
  <si>
    <t>普宁市红领巾实验学校</t>
  </si>
  <si>
    <t>秦钲皓、罗憬阳</t>
  </si>
  <si>
    <t>黄惠敏、杨丹苹</t>
  </si>
  <si>
    <t>汕头市东厦小学</t>
  </si>
  <si>
    <t>胡一驰、赵恩逸</t>
  </si>
  <si>
    <t>陈卓琪</t>
  </si>
  <si>
    <t>肇庆市龙禧小学、肇庆市实验小学</t>
  </si>
  <si>
    <t>袁澄泓、曾祥荃</t>
  </si>
  <si>
    <t>罗瑞欣、曾红荣</t>
  </si>
  <si>
    <t>惠州仲恺高新技术产业开发区陈江五一小学</t>
  </si>
  <si>
    <t>吴维轩、周盛烜</t>
  </si>
  <si>
    <t>卢智敏、钟慧玲</t>
  </si>
  <si>
    <t>清远市清城区凤翔小学、清远市清城区石角镇中心小学</t>
  </si>
  <si>
    <t>董烨、李钧杨</t>
  </si>
  <si>
    <t>卢俊秀、林振华</t>
  </si>
  <si>
    <t>梅州市梅县区新民小学</t>
  </si>
  <si>
    <t>张宸彬、韩婧宇</t>
  </si>
  <si>
    <t>罗健、陈益章</t>
  </si>
  <si>
    <t>惠州仲恺高新技术产业开发区惠环平南小学、惠州仲恺高新技术产业开发区惠环红旗小学</t>
  </si>
  <si>
    <t>叶俊豪、任志强</t>
  </si>
  <si>
    <t>张淑钧、张银银</t>
  </si>
  <si>
    <t>清远市博爱学校</t>
  </si>
  <si>
    <t>张宇泽、卢俊宏</t>
  </si>
  <si>
    <t>邝成宇</t>
  </si>
  <si>
    <t>揭阳市榕城区实验学校</t>
  </si>
  <si>
    <t>张桐恺、陈志宇</t>
  </si>
  <si>
    <t>林乐清</t>
  </si>
  <si>
    <t>张睿航、陈堉秦</t>
  </si>
  <si>
    <t>佛山市三水区云东海学校、佛山市三水区冠华小学</t>
  </si>
  <si>
    <t>朱朗生、陈廷睿</t>
  </si>
  <si>
    <t>梁敏婷、旷中玲</t>
  </si>
  <si>
    <t>普宁陈宝文学校</t>
  </si>
  <si>
    <t>李霂鑫、黄逸超</t>
  </si>
  <si>
    <t>吴映君</t>
  </si>
  <si>
    <t>江门市新会尚雅学校</t>
  </si>
  <si>
    <t>郑皓仁、钟立言</t>
  </si>
  <si>
    <t>黄艳华</t>
  </si>
  <si>
    <t>广东梅县外国语学校富力城附属小学</t>
  </si>
  <si>
    <t>林阳、罗恩闰</t>
  </si>
  <si>
    <t>冯尚锋、李宇扬</t>
  </si>
  <si>
    <t>梅州市实验小学</t>
  </si>
  <si>
    <t>吴骏鹏、谢蕴烽</t>
  </si>
  <si>
    <t>李海伶、李艳芳</t>
  </si>
  <si>
    <t>江门市新会区大鳌镇特沙小学</t>
  </si>
  <si>
    <t>吴俊朗、梁健澎</t>
  </si>
  <si>
    <t>李剑锋、何志杰</t>
  </si>
  <si>
    <t>东莞市松山湖第一小学</t>
  </si>
  <si>
    <t>徐小舸、刘善一</t>
  </si>
  <si>
    <t>王新乐、刘琼</t>
  </si>
  <si>
    <t>黄梓程、戴昱</t>
  </si>
  <si>
    <t>信宜市教育城小学</t>
  </si>
  <si>
    <t>谢子睿、陈为献</t>
  </si>
  <si>
    <t>甘采玉、韦碧海</t>
  </si>
  <si>
    <t>东源县第三小学</t>
  </si>
  <si>
    <t>陈佑洋、陈可沂</t>
  </si>
  <si>
    <t>蓝星、张世川</t>
  </si>
  <si>
    <t>湛江市赤坎区金沙湾学校、湛江市雷阳实验学校</t>
  </si>
  <si>
    <t>杨卓衡、庞棋元</t>
  </si>
  <si>
    <t>陈日丰、郑珊</t>
  </si>
  <si>
    <t>胡浩宇、王离哲</t>
  </si>
  <si>
    <t>吴宇飞、黄书敏</t>
  </si>
  <si>
    <t>四会市碧海湾学校</t>
  </si>
  <si>
    <t>吴贻茹、吴贻诺</t>
  </si>
  <si>
    <t>罗炜杰</t>
  </si>
  <si>
    <t>江门市新会区大鳌镇大鳌小学</t>
  </si>
  <si>
    <t>郭城锴、张地鑫</t>
  </si>
  <si>
    <t>冯锦源、黄永宁</t>
  </si>
  <si>
    <t>湛江市雷阳实验学校、湛江经济技术开发区第四中学</t>
  </si>
  <si>
    <t>支鸿升、刘宗睿</t>
  </si>
  <si>
    <t>郑珊、庞子莹</t>
  </si>
  <si>
    <t>东莞市东城第六小学</t>
  </si>
  <si>
    <t>吴奕辰、卓彦羲</t>
  </si>
  <si>
    <t>刘学文、彭志华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</si>
</sst>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b/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zoomScale="109" zoomScaleNormal="109" workbookViewId="0">
      <pane ySplit="2" topLeftCell="A15" activePane="bottomLeft" state="frozen"/>
      <selection/>
      <selection pane="bottomLeft" activeCell="C26" sqref="C26"/>
    </sheetView>
  </sheetViews>
  <sheetFormatPr defaultColWidth="9.14285714285714" defaultRowHeight="12.75"/>
  <cols>
    <col min="1" max="1" width="6" style="3" customWidth="1"/>
    <col min="2" max="2" width="8.57142857142857" style="3" customWidth="1"/>
    <col min="3" max="3" width="36.1428571428571" style="4" customWidth="1"/>
    <col min="4" max="5" width="15.7142857142857" style="5" customWidth="1"/>
    <col min="6" max="11" width="9.14285714285714" style="3" customWidth="1"/>
    <col min="12" max="217" width="9.14285714285714" style="3"/>
    <col min="218" max="218" width="17.847619047619" style="3" customWidth="1"/>
    <col min="219" max="219" width="48" style="3" customWidth="1"/>
    <col min="220" max="220" width="15.7142857142857" style="3" customWidth="1"/>
    <col min="221" max="221" width="13.7142857142857" style="3" customWidth="1"/>
    <col min="222" max="473" width="9.14285714285714" style="3"/>
    <col min="474" max="474" width="17.847619047619" style="3" customWidth="1"/>
    <col min="475" max="475" width="48" style="3" customWidth="1"/>
    <col min="476" max="476" width="15.7142857142857" style="3" customWidth="1"/>
    <col min="477" max="477" width="13.7142857142857" style="3" customWidth="1"/>
    <col min="478" max="729" width="9.14285714285714" style="3"/>
    <col min="730" max="730" width="17.847619047619" style="3" customWidth="1"/>
    <col min="731" max="731" width="48" style="3" customWidth="1"/>
    <col min="732" max="732" width="15.7142857142857" style="3" customWidth="1"/>
    <col min="733" max="733" width="13.7142857142857" style="3" customWidth="1"/>
    <col min="734" max="985" width="9.14285714285714" style="3"/>
    <col min="986" max="986" width="17.847619047619" style="3" customWidth="1"/>
    <col min="987" max="987" width="48" style="3" customWidth="1"/>
    <col min="988" max="988" width="15.7142857142857" style="3" customWidth="1"/>
    <col min="989" max="989" width="13.7142857142857" style="3" customWidth="1"/>
    <col min="990" max="1241" width="9.14285714285714" style="3"/>
    <col min="1242" max="1242" width="17.847619047619" style="3" customWidth="1"/>
    <col min="1243" max="1243" width="48" style="3" customWidth="1"/>
    <col min="1244" max="1244" width="15.7142857142857" style="3" customWidth="1"/>
    <col min="1245" max="1245" width="13.7142857142857" style="3" customWidth="1"/>
    <col min="1246" max="1497" width="9.14285714285714" style="3"/>
    <col min="1498" max="1498" width="17.847619047619" style="3" customWidth="1"/>
    <col min="1499" max="1499" width="48" style="3" customWidth="1"/>
    <col min="1500" max="1500" width="15.7142857142857" style="3" customWidth="1"/>
    <col min="1501" max="1501" width="13.7142857142857" style="3" customWidth="1"/>
    <col min="1502" max="1753" width="9.14285714285714" style="3"/>
    <col min="1754" max="1754" width="17.847619047619" style="3" customWidth="1"/>
    <col min="1755" max="1755" width="48" style="3" customWidth="1"/>
    <col min="1756" max="1756" width="15.7142857142857" style="3" customWidth="1"/>
    <col min="1757" max="1757" width="13.7142857142857" style="3" customWidth="1"/>
    <col min="1758" max="2009" width="9.14285714285714" style="3"/>
    <col min="2010" max="2010" width="17.847619047619" style="3" customWidth="1"/>
    <col min="2011" max="2011" width="48" style="3" customWidth="1"/>
    <col min="2012" max="2012" width="15.7142857142857" style="3" customWidth="1"/>
    <col min="2013" max="2013" width="13.7142857142857" style="3" customWidth="1"/>
    <col min="2014" max="2265" width="9.14285714285714" style="3"/>
    <col min="2266" max="2266" width="17.847619047619" style="3" customWidth="1"/>
    <col min="2267" max="2267" width="48" style="3" customWidth="1"/>
    <col min="2268" max="2268" width="15.7142857142857" style="3" customWidth="1"/>
    <col min="2269" max="2269" width="13.7142857142857" style="3" customWidth="1"/>
    <col min="2270" max="2521" width="9.14285714285714" style="3"/>
    <col min="2522" max="2522" width="17.847619047619" style="3" customWidth="1"/>
    <col min="2523" max="2523" width="48" style="3" customWidth="1"/>
    <col min="2524" max="2524" width="15.7142857142857" style="3" customWidth="1"/>
    <col min="2525" max="2525" width="13.7142857142857" style="3" customWidth="1"/>
    <col min="2526" max="2777" width="9.14285714285714" style="3"/>
    <col min="2778" max="2778" width="17.847619047619" style="3" customWidth="1"/>
    <col min="2779" max="2779" width="48" style="3" customWidth="1"/>
    <col min="2780" max="2780" width="15.7142857142857" style="3" customWidth="1"/>
    <col min="2781" max="2781" width="13.7142857142857" style="3" customWidth="1"/>
    <col min="2782" max="3033" width="9.14285714285714" style="3"/>
    <col min="3034" max="3034" width="17.847619047619" style="3" customWidth="1"/>
    <col min="3035" max="3035" width="48" style="3" customWidth="1"/>
    <col min="3036" max="3036" width="15.7142857142857" style="3" customWidth="1"/>
    <col min="3037" max="3037" width="13.7142857142857" style="3" customWidth="1"/>
    <col min="3038" max="3289" width="9.14285714285714" style="3"/>
    <col min="3290" max="3290" width="17.847619047619" style="3" customWidth="1"/>
    <col min="3291" max="3291" width="48" style="3" customWidth="1"/>
    <col min="3292" max="3292" width="15.7142857142857" style="3" customWidth="1"/>
    <col min="3293" max="3293" width="13.7142857142857" style="3" customWidth="1"/>
    <col min="3294" max="3545" width="9.14285714285714" style="3"/>
    <col min="3546" max="3546" width="17.847619047619" style="3" customWidth="1"/>
    <col min="3547" max="3547" width="48" style="3" customWidth="1"/>
    <col min="3548" max="3548" width="15.7142857142857" style="3" customWidth="1"/>
    <col min="3549" max="3549" width="13.7142857142857" style="3" customWidth="1"/>
    <col min="3550" max="3801" width="9.14285714285714" style="3"/>
    <col min="3802" max="3802" width="17.847619047619" style="3" customWidth="1"/>
    <col min="3803" max="3803" width="48" style="3" customWidth="1"/>
    <col min="3804" max="3804" width="15.7142857142857" style="3" customWidth="1"/>
    <col min="3805" max="3805" width="13.7142857142857" style="3" customWidth="1"/>
    <col min="3806" max="4057" width="9.14285714285714" style="3"/>
    <col min="4058" max="4058" width="17.847619047619" style="3" customWidth="1"/>
    <col min="4059" max="4059" width="48" style="3" customWidth="1"/>
    <col min="4060" max="4060" width="15.7142857142857" style="3" customWidth="1"/>
    <col min="4061" max="4061" width="13.7142857142857" style="3" customWidth="1"/>
    <col min="4062" max="4313" width="9.14285714285714" style="3"/>
    <col min="4314" max="4314" width="17.847619047619" style="3" customWidth="1"/>
    <col min="4315" max="4315" width="48" style="3" customWidth="1"/>
    <col min="4316" max="4316" width="15.7142857142857" style="3" customWidth="1"/>
    <col min="4317" max="4317" width="13.7142857142857" style="3" customWidth="1"/>
    <col min="4318" max="4569" width="9.14285714285714" style="3"/>
    <col min="4570" max="4570" width="17.847619047619" style="3" customWidth="1"/>
    <col min="4571" max="4571" width="48" style="3" customWidth="1"/>
    <col min="4572" max="4572" width="15.7142857142857" style="3" customWidth="1"/>
    <col min="4573" max="4573" width="13.7142857142857" style="3" customWidth="1"/>
    <col min="4574" max="4825" width="9.14285714285714" style="3"/>
    <col min="4826" max="4826" width="17.847619047619" style="3" customWidth="1"/>
    <col min="4827" max="4827" width="48" style="3" customWidth="1"/>
    <col min="4828" max="4828" width="15.7142857142857" style="3" customWidth="1"/>
    <col min="4829" max="4829" width="13.7142857142857" style="3" customWidth="1"/>
    <col min="4830" max="5081" width="9.14285714285714" style="3"/>
    <col min="5082" max="5082" width="17.847619047619" style="3" customWidth="1"/>
    <col min="5083" max="5083" width="48" style="3" customWidth="1"/>
    <col min="5084" max="5084" width="15.7142857142857" style="3" customWidth="1"/>
    <col min="5085" max="5085" width="13.7142857142857" style="3" customWidth="1"/>
    <col min="5086" max="5337" width="9.14285714285714" style="3"/>
    <col min="5338" max="5338" width="17.847619047619" style="3" customWidth="1"/>
    <col min="5339" max="5339" width="48" style="3" customWidth="1"/>
    <col min="5340" max="5340" width="15.7142857142857" style="3" customWidth="1"/>
    <col min="5341" max="5341" width="13.7142857142857" style="3" customWidth="1"/>
    <col min="5342" max="5593" width="9.14285714285714" style="3"/>
    <col min="5594" max="5594" width="17.847619047619" style="3" customWidth="1"/>
    <col min="5595" max="5595" width="48" style="3" customWidth="1"/>
    <col min="5596" max="5596" width="15.7142857142857" style="3" customWidth="1"/>
    <col min="5597" max="5597" width="13.7142857142857" style="3" customWidth="1"/>
    <col min="5598" max="5849" width="9.14285714285714" style="3"/>
    <col min="5850" max="5850" width="17.847619047619" style="3" customWidth="1"/>
    <col min="5851" max="5851" width="48" style="3" customWidth="1"/>
    <col min="5852" max="5852" width="15.7142857142857" style="3" customWidth="1"/>
    <col min="5853" max="5853" width="13.7142857142857" style="3" customWidth="1"/>
    <col min="5854" max="6105" width="9.14285714285714" style="3"/>
    <col min="6106" max="6106" width="17.847619047619" style="3" customWidth="1"/>
    <col min="6107" max="6107" width="48" style="3" customWidth="1"/>
    <col min="6108" max="6108" width="15.7142857142857" style="3" customWidth="1"/>
    <col min="6109" max="6109" width="13.7142857142857" style="3" customWidth="1"/>
    <col min="6110" max="6361" width="9.14285714285714" style="3"/>
    <col min="6362" max="6362" width="17.847619047619" style="3" customWidth="1"/>
    <col min="6363" max="6363" width="48" style="3" customWidth="1"/>
    <col min="6364" max="6364" width="15.7142857142857" style="3" customWidth="1"/>
    <col min="6365" max="6365" width="13.7142857142857" style="3" customWidth="1"/>
    <col min="6366" max="6617" width="9.14285714285714" style="3"/>
    <col min="6618" max="6618" width="17.847619047619" style="3" customWidth="1"/>
    <col min="6619" max="6619" width="48" style="3" customWidth="1"/>
    <col min="6620" max="6620" width="15.7142857142857" style="3" customWidth="1"/>
    <col min="6621" max="6621" width="13.7142857142857" style="3" customWidth="1"/>
    <col min="6622" max="6873" width="9.14285714285714" style="3"/>
    <col min="6874" max="6874" width="17.847619047619" style="3" customWidth="1"/>
    <col min="6875" max="6875" width="48" style="3" customWidth="1"/>
    <col min="6876" max="6876" width="15.7142857142857" style="3" customWidth="1"/>
    <col min="6877" max="6877" width="13.7142857142857" style="3" customWidth="1"/>
    <col min="6878" max="7129" width="9.14285714285714" style="3"/>
    <col min="7130" max="7130" width="17.847619047619" style="3" customWidth="1"/>
    <col min="7131" max="7131" width="48" style="3" customWidth="1"/>
    <col min="7132" max="7132" width="15.7142857142857" style="3" customWidth="1"/>
    <col min="7133" max="7133" width="13.7142857142857" style="3" customWidth="1"/>
    <col min="7134" max="7385" width="9.14285714285714" style="3"/>
    <col min="7386" max="7386" width="17.847619047619" style="3" customWidth="1"/>
    <col min="7387" max="7387" width="48" style="3" customWidth="1"/>
    <col min="7388" max="7388" width="15.7142857142857" style="3" customWidth="1"/>
    <col min="7389" max="7389" width="13.7142857142857" style="3" customWidth="1"/>
    <col min="7390" max="7641" width="9.14285714285714" style="3"/>
    <col min="7642" max="7642" width="17.847619047619" style="3" customWidth="1"/>
    <col min="7643" max="7643" width="48" style="3" customWidth="1"/>
    <col min="7644" max="7644" width="15.7142857142857" style="3" customWidth="1"/>
    <col min="7645" max="7645" width="13.7142857142857" style="3" customWidth="1"/>
    <col min="7646" max="7897" width="9.14285714285714" style="3"/>
    <col min="7898" max="7898" width="17.847619047619" style="3" customWidth="1"/>
    <col min="7899" max="7899" width="48" style="3" customWidth="1"/>
    <col min="7900" max="7900" width="15.7142857142857" style="3" customWidth="1"/>
    <col min="7901" max="7901" width="13.7142857142857" style="3" customWidth="1"/>
    <col min="7902" max="8153" width="9.14285714285714" style="3"/>
    <col min="8154" max="8154" width="17.847619047619" style="3" customWidth="1"/>
    <col min="8155" max="8155" width="48" style="3" customWidth="1"/>
    <col min="8156" max="8156" width="15.7142857142857" style="3" customWidth="1"/>
    <col min="8157" max="8157" width="13.7142857142857" style="3" customWidth="1"/>
    <col min="8158" max="8409" width="9.14285714285714" style="3"/>
    <col min="8410" max="8410" width="17.847619047619" style="3" customWidth="1"/>
    <col min="8411" max="8411" width="48" style="3" customWidth="1"/>
    <col min="8412" max="8412" width="15.7142857142857" style="3" customWidth="1"/>
    <col min="8413" max="8413" width="13.7142857142857" style="3" customWidth="1"/>
    <col min="8414" max="8665" width="9.14285714285714" style="3"/>
    <col min="8666" max="8666" width="17.847619047619" style="3" customWidth="1"/>
    <col min="8667" max="8667" width="48" style="3" customWidth="1"/>
    <col min="8668" max="8668" width="15.7142857142857" style="3" customWidth="1"/>
    <col min="8669" max="8669" width="13.7142857142857" style="3" customWidth="1"/>
    <col min="8670" max="8921" width="9.14285714285714" style="3"/>
    <col min="8922" max="8922" width="17.847619047619" style="3" customWidth="1"/>
    <col min="8923" max="8923" width="48" style="3" customWidth="1"/>
    <col min="8924" max="8924" width="15.7142857142857" style="3" customWidth="1"/>
    <col min="8925" max="8925" width="13.7142857142857" style="3" customWidth="1"/>
    <col min="8926" max="9177" width="9.14285714285714" style="3"/>
    <col min="9178" max="9178" width="17.847619047619" style="3" customWidth="1"/>
    <col min="9179" max="9179" width="48" style="3" customWidth="1"/>
    <col min="9180" max="9180" width="15.7142857142857" style="3" customWidth="1"/>
    <col min="9181" max="9181" width="13.7142857142857" style="3" customWidth="1"/>
    <col min="9182" max="9433" width="9.14285714285714" style="3"/>
    <col min="9434" max="9434" width="17.847619047619" style="3" customWidth="1"/>
    <col min="9435" max="9435" width="48" style="3" customWidth="1"/>
    <col min="9436" max="9436" width="15.7142857142857" style="3" customWidth="1"/>
    <col min="9437" max="9437" width="13.7142857142857" style="3" customWidth="1"/>
    <col min="9438" max="9689" width="9.14285714285714" style="3"/>
    <col min="9690" max="9690" width="17.847619047619" style="3" customWidth="1"/>
    <col min="9691" max="9691" width="48" style="3" customWidth="1"/>
    <col min="9692" max="9692" width="15.7142857142857" style="3" customWidth="1"/>
    <col min="9693" max="9693" width="13.7142857142857" style="3" customWidth="1"/>
    <col min="9694" max="9945" width="9.14285714285714" style="3"/>
    <col min="9946" max="9946" width="17.847619047619" style="3" customWidth="1"/>
    <col min="9947" max="9947" width="48" style="3" customWidth="1"/>
    <col min="9948" max="9948" width="15.7142857142857" style="3" customWidth="1"/>
    <col min="9949" max="9949" width="13.7142857142857" style="3" customWidth="1"/>
    <col min="9950" max="10201" width="9.14285714285714" style="3"/>
    <col min="10202" max="10202" width="17.847619047619" style="3" customWidth="1"/>
    <col min="10203" max="10203" width="48" style="3" customWidth="1"/>
    <col min="10204" max="10204" width="15.7142857142857" style="3" customWidth="1"/>
    <col min="10205" max="10205" width="13.7142857142857" style="3" customWidth="1"/>
    <col min="10206" max="10457" width="9.14285714285714" style="3"/>
    <col min="10458" max="10458" width="17.847619047619" style="3" customWidth="1"/>
    <col min="10459" max="10459" width="48" style="3" customWidth="1"/>
    <col min="10460" max="10460" width="15.7142857142857" style="3" customWidth="1"/>
    <col min="10461" max="10461" width="13.7142857142857" style="3" customWidth="1"/>
    <col min="10462" max="10713" width="9.14285714285714" style="3"/>
    <col min="10714" max="10714" width="17.847619047619" style="3" customWidth="1"/>
    <col min="10715" max="10715" width="48" style="3" customWidth="1"/>
    <col min="10716" max="10716" width="15.7142857142857" style="3" customWidth="1"/>
    <col min="10717" max="10717" width="13.7142857142857" style="3" customWidth="1"/>
    <col min="10718" max="10969" width="9.14285714285714" style="3"/>
    <col min="10970" max="10970" width="17.847619047619" style="3" customWidth="1"/>
    <col min="10971" max="10971" width="48" style="3" customWidth="1"/>
    <col min="10972" max="10972" width="15.7142857142857" style="3" customWidth="1"/>
    <col min="10973" max="10973" width="13.7142857142857" style="3" customWidth="1"/>
    <col min="10974" max="11225" width="9.14285714285714" style="3"/>
    <col min="11226" max="11226" width="17.847619047619" style="3" customWidth="1"/>
    <col min="11227" max="11227" width="48" style="3" customWidth="1"/>
    <col min="11228" max="11228" width="15.7142857142857" style="3" customWidth="1"/>
    <col min="11229" max="11229" width="13.7142857142857" style="3" customWidth="1"/>
    <col min="11230" max="11481" width="9.14285714285714" style="3"/>
    <col min="11482" max="11482" width="17.847619047619" style="3" customWidth="1"/>
    <col min="11483" max="11483" width="48" style="3" customWidth="1"/>
    <col min="11484" max="11484" width="15.7142857142857" style="3" customWidth="1"/>
    <col min="11485" max="11485" width="13.7142857142857" style="3" customWidth="1"/>
    <col min="11486" max="11737" width="9.14285714285714" style="3"/>
    <col min="11738" max="11738" width="17.847619047619" style="3" customWidth="1"/>
    <col min="11739" max="11739" width="48" style="3" customWidth="1"/>
    <col min="11740" max="11740" width="15.7142857142857" style="3" customWidth="1"/>
    <col min="11741" max="11741" width="13.7142857142857" style="3" customWidth="1"/>
    <col min="11742" max="11993" width="9.14285714285714" style="3"/>
    <col min="11994" max="11994" width="17.847619047619" style="3" customWidth="1"/>
    <col min="11995" max="11995" width="48" style="3" customWidth="1"/>
    <col min="11996" max="11996" width="15.7142857142857" style="3" customWidth="1"/>
    <col min="11997" max="11997" width="13.7142857142857" style="3" customWidth="1"/>
    <col min="11998" max="12249" width="9.14285714285714" style="3"/>
    <col min="12250" max="12250" width="17.847619047619" style="3" customWidth="1"/>
    <col min="12251" max="12251" width="48" style="3" customWidth="1"/>
    <col min="12252" max="12252" width="15.7142857142857" style="3" customWidth="1"/>
    <col min="12253" max="12253" width="13.7142857142857" style="3" customWidth="1"/>
    <col min="12254" max="12505" width="9.14285714285714" style="3"/>
    <col min="12506" max="12506" width="17.847619047619" style="3" customWidth="1"/>
    <col min="12507" max="12507" width="48" style="3" customWidth="1"/>
    <col min="12508" max="12508" width="15.7142857142857" style="3" customWidth="1"/>
    <col min="12509" max="12509" width="13.7142857142857" style="3" customWidth="1"/>
    <col min="12510" max="12761" width="9.14285714285714" style="3"/>
    <col min="12762" max="12762" width="17.847619047619" style="3" customWidth="1"/>
    <col min="12763" max="12763" width="48" style="3" customWidth="1"/>
    <col min="12764" max="12764" width="15.7142857142857" style="3" customWidth="1"/>
    <col min="12765" max="12765" width="13.7142857142857" style="3" customWidth="1"/>
    <col min="12766" max="13017" width="9.14285714285714" style="3"/>
    <col min="13018" max="13018" width="17.847619047619" style="3" customWidth="1"/>
    <col min="13019" max="13019" width="48" style="3" customWidth="1"/>
    <col min="13020" max="13020" width="15.7142857142857" style="3" customWidth="1"/>
    <col min="13021" max="13021" width="13.7142857142857" style="3" customWidth="1"/>
    <col min="13022" max="13273" width="9.14285714285714" style="3"/>
    <col min="13274" max="13274" width="17.847619047619" style="3" customWidth="1"/>
    <col min="13275" max="13275" width="48" style="3" customWidth="1"/>
    <col min="13276" max="13276" width="15.7142857142857" style="3" customWidth="1"/>
    <col min="13277" max="13277" width="13.7142857142857" style="3" customWidth="1"/>
    <col min="13278" max="13529" width="9.14285714285714" style="3"/>
    <col min="13530" max="13530" width="17.847619047619" style="3" customWidth="1"/>
    <col min="13531" max="13531" width="48" style="3" customWidth="1"/>
    <col min="13532" max="13532" width="15.7142857142857" style="3" customWidth="1"/>
    <col min="13533" max="13533" width="13.7142857142857" style="3" customWidth="1"/>
    <col min="13534" max="13785" width="9.14285714285714" style="3"/>
    <col min="13786" max="13786" width="17.847619047619" style="3" customWidth="1"/>
    <col min="13787" max="13787" width="48" style="3" customWidth="1"/>
    <col min="13788" max="13788" width="15.7142857142857" style="3" customWidth="1"/>
    <col min="13789" max="13789" width="13.7142857142857" style="3" customWidth="1"/>
    <col min="13790" max="14041" width="9.14285714285714" style="3"/>
    <col min="14042" max="14042" width="17.847619047619" style="3" customWidth="1"/>
    <col min="14043" max="14043" width="48" style="3" customWidth="1"/>
    <col min="14044" max="14044" width="15.7142857142857" style="3" customWidth="1"/>
    <col min="14045" max="14045" width="13.7142857142857" style="3" customWidth="1"/>
    <col min="14046" max="14297" width="9.14285714285714" style="3"/>
    <col min="14298" max="14298" width="17.847619047619" style="3" customWidth="1"/>
    <col min="14299" max="14299" width="48" style="3" customWidth="1"/>
    <col min="14300" max="14300" width="15.7142857142857" style="3" customWidth="1"/>
    <col min="14301" max="14301" width="13.7142857142857" style="3" customWidth="1"/>
    <col min="14302" max="14553" width="9.14285714285714" style="3"/>
    <col min="14554" max="14554" width="17.847619047619" style="3" customWidth="1"/>
    <col min="14555" max="14555" width="48" style="3" customWidth="1"/>
    <col min="14556" max="14556" width="15.7142857142857" style="3" customWidth="1"/>
    <col min="14557" max="14557" width="13.7142857142857" style="3" customWidth="1"/>
    <col min="14558" max="14809" width="9.14285714285714" style="3"/>
    <col min="14810" max="14810" width="17.847619047619" style="3" customWidth="1"/>
    <col min="14811" max="14811" width="48" style="3" customWidth="1"/>
    <col min="14812" max="14812" width="15.7142857142857" style="3" customWidth="1"/>
    <col min="14813" max="14813" width="13.7142857142857" style="3" customWidth="1"/>
    <col min="14814" max="15065" width="9.14285714285714" style="3"/>
    <col min="15066" max="15066" width="17.847619047619" style="3" customWidth="1"/>
    <col min="15067" max="15067" width="48" style="3" customWidth="1"/>
    <col min="15068" max="15068" width="15.7142857142857" style="3" customWidth="1"/>
    <col min="15069" max="15069" width="13.7142857142857" style="3" customWidth="1"/>
    <col min="15070" max="15321" width="9.14285714285714" style="3"/>
    <col min="15322" max="15322" width="17.847619047619" style="3" customWidth="1"/>
    <col min="15323" max="15323" width="48" style="3" customWidth="1"/>
    <col min="15324" max="15324" width="15.7142857142857" style="3" customWidth="1"/>
    <col min="15325" max="15325" width="13.7142857142857" style="3" customWidth="1"/>
    <col min="15326" max="15577" width="9.14285714285714" style="3"/>
    <col min="15578" max="15578" width="17.847619047619" style="3" customWidth="1"/>
    <col min="15579" max="15579" width="48" style="3" customWidth="1"/>
    <col min="15580" max="15580" width="15.7142857142857" style="3" customWidth="1"/>
    <col min="15581" max="15581" width="13.7142857142857" style="3" customWidth="1"/>
    <col min="15582" max="15833" width="9.14285714285714" style="3"/>
    <col min="15834" max="15834" width="17.847619047619" style="3" customWidth="1"/>
    <col min="15835" max="15835" width="48" style="3" customWidth="1"/>
    <col min="15836" max="15836" width="15.7142857142857" style="3" customWidth="1"/>
    <col min="15837" max="15837" width="13.7142857142857" style="3" customWidth="1"/>
    <col min="15838" max="16089" width="9.14285714285714" style="3"/>
    <col min="16090" max="16090" width="17.847619047619" style="3" customWidth="1"/>
    <col min="16091" max="16091" width="48" style="3" customWidth="1"/>
    <col min="16092" max="16092" width="15.7142857142857" style="3" customWidth="1"/>
    <col min="16093" max="16093" width="13.7142857142857" style="3" customWidth="1"/>
    <col min="16094" max="16380" width="9.14285714285714" style="3"/>
  </cols>
  <sheetData>
    <row r="1" ht="26.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0" customHeight="1" spans="1:12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</row>
    <row r="3" ht="25.25" customHeight="1" spans="1:12">
      <c r="A3" s="9">
        <v>1</v>
      </c>
      <c r="B3" s="10" t="s">
        <v>13</v>
      </c>
      <c r="C3" s="11" t="s">
        <v>14</v>
      </c>
      <c r="D3" s="10" t="s">
        <v>15</v>
      </c>
      <c r="E3" s="10" t="s">
        <v>16</v>
      </c>
      <c r="F3" s="10">
        <v>420</v>
      </c>
      <c r="G3" s="10">
        <f>2*60+23.66</f>
        <v>143.66</v>
      </c>
      <c r="H3" s="10">
        <v>420</v>
      </c>
      <c r="I3" s="10">
        <f>1*60+53.56</f>
        <v>113.56</v>
      </c>
      <c r="J3" s="10">
        <f t="shared" ref="J3:J28" si="0">F3+H3</f>
        <v>840</v>
      </c>
      <c r="K3" s="10">
        <f t="shared" ref="K3:K28" si="1">G3+I3</f>
        <v>257.22</v>
      </c>
      <c r="L3" s="16" t="s">
        <v>17</v>
      </c>
    </row>
    <row r="4" ht="25.25" customHeight="1" spans="1:12">
      <c r="A4" s="9">
        <v>2</v>
      </c>
      <c r="B4" s="10" t="s">
        <v>18</v>
      </c>
      <c r="C4" s="11" t="s">
        <v>19</v>
      </c>
      <c r="D4" s="10" t="s">
        <v>20</v>
      </c>
      <c r="E4" s="10" t="s">
        <v>21</v>
      </c>
      <c r="F4" s="10">
        <v>340</v>
      </c>
      <c r="G4" s="10">
        <f>3*60</f>
        <v>180</v>
      </c>
      <c r="H4" s="10">
        <v>410</v>
      </c>
      <c r="I4" s="10">
        <f>2*60+34.81</f>
        <v>154.81</v>
      </c>
      <c r="J4" s="10">
        <f t="shared" si="0"/>
        <v>750</v>
      </c>
      <c r="K4" s="10">
        <f t="shared" si="1"/>
        <v>334.81</v>
      </c>
      <c r="L4" s="10" t="s">
        <v>17</v>
      </c>
    </row>
    <row r="5" ht="25.25" customHeight="1" spans="1:12">
      <c r="A5" s="9">
        <v>3</v>
      </c>
      <c r="B5" s="10" t="s">
        <v>13</v>
      </c>
      <c r="C5" s="11" t="s">
        <v>22</v>
      </c>
      <c r="D5" s="10" t="s">
        <v>23</v>
      </c>
      <c r="E5" s="10" t="s">
        <v>24</v>
      </c>
      <c r="F5" s="10">
        <v>340</v>
      </c>
      <c r="G5" s="10">
        <f>2*60+27.65</f>
        <v>147.65</v>
      </c>
      <c r="H5" s="10">
        <v>160</v>
      </c>
      <c r="I5" s="10">
        <f>1*60+25.69</f>
        <v>85.69</v>
      </c>
      <c r="J5" s="10">
        <f t="shared" si="0"/>
        <v>500</v>
      </c>
      <c r="K5" s="10">
        <f t="shared" si="1"/>
        <v>233.34</v>
      </c>
      <c r="L5" s="16" t="s">
        <v>17</v>
      </c>
    </row>
    <row r="6" ht="25.25" customHeight="1" spans="1:12">
      <c r="A6" s="9">
        <v>4</v>
      </c>
      <c r="B6" s="10" t="s">
        <v>25</v>
      </c>
      <c r="C6" s="11" t="s">
        <v>26</v>
      </c>
      <c r="D6" s="10" t="s">
        <v>27</v>
      </c>
      <c r="E6" s="10" t="s">
        <v>28</v>
      </c>
      <c r="F6" s="10">
        <v>160</v>
      </c>
      <c r="G6" s="10">
        <f>3*60</f>
        <v>180</v>
      </c>
      <c r="H6" s="10">
        <v>340</v>
      </c>
      <c r="I6" s="10">
        <f>2*60+25.03</f>
        <v>145.03</v>
      </c>
      <c r="J6" s="10">
        <f t="shared" si="0"/>
        <v>500</v>
      </c>
      <c r="K6" s="10">
        <f t="shared" si="1"/>
        <v>325.03</v>
      </c>
      <c r="L6" s="10" t="s">
        <v>17</v>
      </c>
    </row>
    <row r="7" ht="25.25" customHeight="1" spans="1:12">
      <c r="A7" s="9">
        <v>5</v>
      </c>
      <c r="B7" s="10" t="s">
        <v>29</v>
      </c>
      <c r="C7" s="11" t="s">
        <v>30</v>
      </c>
      <c r="D7" s="10" t="s">
        <v>31</v>
      </c>
      <c r="E7" s="10" t="s">
        <v>32</v>
      </c>
      <c r="F7" s="10">
        <v>130</v>
      </c>
      <c r="G7" s="10">
        <f>1*60+51.34</f>
        <v>111.34</v>
      </c>
      <c r="H7" s="10">
        <v>330</v>
      </c>
      <c r="I7" s="10">
        <f>2*60+47.37</f>
        <v>167.37</v>
      </c>
      <c r="J7" s="10">
        <f t="shared" si="0"/>
        <v>460</v>
      </c>
      <c r="K7" s="10">
        <f t="shared" si="1"/>
        <v>278.71</v>
      </c>
      <c r="L7" s="16" t="s">
        <v>33</v>
      </c>
    </row>
    <row r="8" ht="25.25" customHeight="1" spans="1:12">
      <c r="A8" s="9">
        <v>6</v>
      </c>
      <c r="B8" s="10" t="s">
        <v>34</v>
      </c>
      <c r="C8" s="11" t="s">
        <v>35</v>
      </c>
      <c r="D8" s="10" t="s">
        <v>36</v>
      </c>
      <c r="E8" s="10" t="s">
        <v>37</v>
      </c>
      <c r="F8" s="10">
        <v>260</v>
      </c>
      <c r="G8" s="10">
        <f>2*60+51.53</f>
        <v>171.53</v>
      </c>
      <c r="H8" s="10">
        <v>190</v>
      </c>
      <c r="I8" s="10">
        <f>2*60+37.03</f>
        <v>157.03</v>
      </c>
      <c r="J8" s="10">
        <f t="shared" si="0"/>
        <v>450</v>
      </c>
      <c r="K8" s="10">
        <f t="shared" si="1"/>
        <v>328.56</v>
      </c>
      <c r="L8" s="16" t="s">
        <v>33</v>
      </c>
    </row>
    <row r="9" ht="25.25" customHeight="1" spans="1:12">
      <c r="A9" s="9">
        <v>7</v>
      </c>
      <c r="B9" s="10" t="s">
        <v>38</v>
      </c>
      <c r="C9" s="11" t="s">
        <v>39</v>
      </c>
      <c r="D9" s="10" t="s">
        <v>40</v>
      </c>
      <c r="E9" s="10" t="s">
        <v>41</v>
      </c>
      <c r="F9" s="10">
        <v>240</v>
      </c>
      <c r="G9" s="10">
        <f>2*60+47.72</f>
        <v>167.72</v>
      </c>
      <c r="H9" s="10">
        <v>200</v>
      </c>
      <c r="I9" s="10">
        <f>2*60+18.88</f>
        <v>138.88</v>
      </c>
      <c r="J9" s="10">
        <f t="shared" si="0"/>
        <v>440</v>
      </c>
      <c r="K9" s="10">
        <f t="shared" si="1"/>
        <v>306.6</v>
      </c>
      <c r="L9" s="16" t="s">
        <v>33</v>
      </c>
    </row>
    <row r="10" ht="25.25" customHeight="1" spans="1:12">
      <c r="A10" s="9">
        <v>8</v>
      </c>
      <c r="B10" s="10" t="s">
        <v>42</v>
      </c>
      <c r="C10" s="11" t="s">
        <v>43</v>
      </c>
      <c r="D10" s="10" t="s">
        <v>44</v>
      </c>
      <c r="E10" s="10" t="s">
        <v>45</v>
      </c>
      <c r="F10" s="10">
        <v>140</v>
      </c>
      <c r="G10" s="10">
        <f>2*60+33.1</f>
        <v>153.1</v>
      </c>
      <c r="H10" s="10">
        <v>270</v>
      </c>
      <c r="I10" s="10">
        <f>2*60+52.06</f>
        <v>172.06</v>
      </c>
      <c r="J10" s="10">
        <f t="shared" si="0"/>
        <v>410</v>
      </c>
      <c r="K10" s="10">
        <f t="shared" si="1"/>
        <v>325.16</v>
      </c>
      <c r="L10" s="10" t="s">
        <v>33</v>
      </c>
    </row>
    <row r="11" ht="25.25" customHeight="1" spans="1:12">
      <c r="A11" s="9">
        <v>9</v>
      </c>
      <c r="B11" s="10" t="s">
        <v>46</v>
      </c>
      <c r="C11" s="11" t="s">
        <v>47</v>
      </c>
      <c r="D11" s="10" t="s">
        <v>48</v>
      </c>
      <c r="E11" s="10" t="s">
        <v>49</v>
      </c>
      <c r="F11" s="10">
        <v>130</v>
      </c>
      <c r="G11" s="10">
        <f>3*60</f>
        <v>180</v>
      </c>
      <c r="H11" s="10">
        <v>260</v>
      </c>
      <c r="I11" s="10">
        <f>2*60+27.82</f>
        <v>147.82</v>
      </c>
      <c r="J11" s="10">
        <f t="shared" si="0"/>
        <v>390</v>
      </c>
      <c r="K11" s="10">
        <f t="shared" si="1"/>
        <v>327.82</v>
      </c>
      <c r="L11" s="16" t="s">
        <v>33</v>
      </c>
    </row>
    <row r="12" ht="25.25" customHeight="1" spans="1:12">
      <c r="A12" s="9">
        <v>10</v>
      </c>
      <c r="B12" s="10" t="s">
        <v>50</v>
      </c>
      <c r="C12" s="11" t="s">
        <v>51</v>
      </c>
      <c r="D12" s="10" t="s">
        <v>52</v>
      </c>
      <c r="E12" s="10" t="s">
        <v>53</v>
      </c>
      <c r="F12" s="10">
        <v>150</v>
      </c>
      <c r="G12" s="10">
        <f>2*60+2.32</f>
        <v>122.32</v>
      </c>
      <c r="H12" s="10">
        <v>190</v>
      </c>
      <c r="I12" s="10">
        <f>1*60+22.94</f>
        <v>82.94</v>
      </c>
      <c r="J12" s="10">
        <f t="shared" si="0"/>
        <v>340</v>
      </c>
      <c r="K12" s="10">
        <f t="shared" si="1"/>
        <v>205.26</v>
      </c>
      <c r="L12" s="16" t="s">
        <v>33</v>
      </c>
    </row>
    <row r="13" ht="25.25" customHeight="1" spans="1:12">
      <c r="A13" s="9">
        <v>11</v>
      </c>
      <c r="B13" s="10" t="s">
        <v>38</v>
      </c>
      <c r="C13" s="11" t="s">
        <v>39</v>
      </c>
      <c r="D13" s="10" t="s">
        <v>54</v>
      </c>
      <c r="E13" s="10" t="s">
        <v>55</v>
      </c>
      <c r="F13" s="10">
        <v>150</v>
      </c>
      <c r="G13" s="10">
        <f>1*60+47.53</f>
        <v>107.53</v>
      </c>
      <c r="H13" s="10">
        <v>60</v>
      </c>
      <c r="I13" s="10">
        <f>1*60+20.31</f>
        <v>80.31</v>
      </c>
      <c r="J13" s="10">
        <f t="shared" si="0"/>
        <v>210</v>
      </c>
      <c r="K13" s="10">
        <f t="shared" si="1"/>
        <v>187.84</v>
      </c>
      <c r="L13" s="16" t="s">
        <v>33</v>
      </c>
    </row>
    <row r="14" ht="25.25" customHeight="1" spans="1:12">
      <c r="A14" s="9">
        <v>12</v>
      </c>
      <c r="B14" s="10" t="s">
        <v>56</v>
      </c>
      <c r="C14" s="11" t="s">
        <v>57</v>
      </c>
      <c r="D14" s="10" t="s">
        <v>58</v>
      </c>
      <c r="E14" s="10" t="s">
        <v>59</v>
      </c>
      <c r="F14" s="10">
        <v>140</v>
      </c>
      <c r="G14" s="10">
        <f>3*60</f>
        <v>180</v>
      </c>
      <c r="H14" s="10">
        <v>70</v>
      </c>
      <c r="I14" s="10">
        <f>2*60+20.15</f>
        <v>140.15</v>
      </c>
      <c r="J14" s="10">
        <f t="shared" si="0"/>
        <v>210</v>
      </c>
      <c r="K14" s="10">
        <f t="shared" si="1"/>
        <v>320.15</v>
      </c>
      <c r="L14" s="10" t="s">
        <v>33</v>
      </c>
    </row>
    <row r="15" ht="25.25" customHeight="1" spans="1:12">
      <c r="A15" s="9">
        <v>13</v>
      </c>
      <c r="B15" s="10" t="s">
        <v>29</v>
      </c>
      <c r="C15" s="11" t="s">
        <v>60</v>
      </c>
      <c r="D15" s="10" t="s">
        <v>61</v>
      </c>
      <c r="E15" s="10" t="s">
        <v>62</v>
      </c>
      <c r="F15" s="18">
        <v>70</v>
      </c>
      <c r="G15" s="18">
        <f>2*60+24.59</f>
        <v>144.59</v>
      </c>
      <c r="H15" s="18">
        <v>100</v>
      </c>
      <c r="I15" s="18">
        <f>2*60+40.06</f>
        <v>160.06</v>
      </c>
      <c r="J15" s="10">
        <f t="shared" si="0"/>
        <v>170</v>
      </c>
      <c r="K15" s="10">
        <f t="shared" si="1"/>
        <v>304.65</v>
      </c>
      <c r="L15" s="10" t="s">
        <v>33</v>
      </c>
    </row>
    <row r="16" ht="25.25" customHeight="1" spans="1:12">
      <c r="A16" s="9">
        <v>14</v>
      </c>
      <c r="B16" s="10" t="s">
        <v>63</v>
      </c>
      <c r="C16" s="11" t="s">
        <v>64</v>
      </c>
      <c r="D16" s="10" t="s">
        <v>65</v>
      </c>
      <c r="E16" s="10" t="s">
        <v>66</v>
      </c>
      <c r="F16" s="10">
        <v>30</v>
      </c>
      <c r="G16" s="10">
        <f>2*60+34.32</f>
        <v>154.32</v>
      </c>
      <c r="H16" s="10">
        <v>120</v>
      </c>
      <c r="I16" s="10">
        <f t="shared" ref="I16:I21" si="2">3*60</f>
        <v>180</v>
      </c>
      <c r="J16" s="10">
        <f t="shared" si="0"/>
        <v>150</v>
      </c>
      <c r="K16" s="10">
        <f t="shared" si="1"/>
        <v>334.32</v>
      </c>
      <c r="L16" s="16" t="s">
        <v>67</v>
      </c>
    </row>
    <row r="17" ht="25.25" customHeight="1" spans="1:12">
      <c r="A17" s="9">
        <v>15</v>
      </c>
      <c r="B17" s="10" t="s">
        <v>56</v>
      </c>
      <c r="C17" s="17" t="s">
        <v>68</v>
      </c>
      <c r="D17" s="10" t="s">
        <v>69</v>
      </c>
      <c r="E17" s="10" t="s">
        <v>70</v>
      </c>
      <c r="F17" s="10">
        <v>30</v>
      </c>
      <c r="G17" s="10">
        <f>2*60+8.16</f>
        <v>128.16</v>
      </c>
      <c r="H17" s="10">
        <v>110</v>
      </c>
      <c r="I17" s="10">
        <f>1*60+58.16</f>
        <v>118.16</v>
      </c>
      <c r="J17" s="10">
        <f t="shared" si="0"/>
        <v>140</v>
      </c>
      <c r="K17" s="10">
        <f t="shared" si="1"/>
        <v>246.32</v>
      </c>
      <c r="L17" s="10" t="s">
        <v>67</v>
      </c>
    </row>
    <row r="18" s="2" customFormat="1" ht="25.25" customHeight="1" spans="1:12">
      <c r="A18" s="9">
        <v>16</v>
      </c>
      <c r="B18" s="10" t="s">
        <v>63</v>
      </c>
      <c r="C18" s="11" t="s">
        <v>71</v>
      </c>
      <c r="D18" s="10" t="s">
        <v>72</v>
      </c>
      <c r="E18" s="10" t="s">
        <v>73</v>
      </c>
      <c r="F18" s="10">
        <v>90</v>
      </c>
      <c r="G18" s="10">
        <f>3*60</f>
        <v>180</v>
      </c>
      <c r="H18" s="10">
        <v>40</v>
      </c>
      <c r="I18" s="10">
        <f>2*60+23</f>
        <v>143</v>
      </c>
      <c r="J18" s="10">
        <f t="shared" si="0"/>
        <v>130</v>
      </c>
      <c r="K18" s="10">
        <f t="shared" si="1"/>
        <v>323</v>
      </c>
      <c r="L18" s="10" t="s">
        <v>67</v>
      </c>
    </row>
    <row r="19" s="2" customFormat="1" ht="25.25" customHeight="1" spans="1:12">
      <c r="A19" s="9">
        <v>17</v>
      </c>
      <c r="B19" s="10" t="s">
        <v>74</v>
      </c>
      <c r="C19" s="11" t="s">
        <v>75</v>
      </c>
      <c r="D19" s="10" t="s">
        <v>76</v>
      </c>
      <c r="E19" s="10" t="s">
        <v>77</v>
      </c>
      <c r="F19" s="10">
        <v>50</v>
      </c>
      <c r="G19" s="10">
        <f>1*60+8.62</f>
        <v>68.62</v>
      </c>
      <c r="H19" s="10">
        <v>50</v>
      </c>
      <c r="I19" s="10">
        <f>2*60+57.22</f>
        <v>177.22</v>
      </c>
      <c r="J19" s="10">
        <f t="shared" si="0"/>
        <v>100</v>
      </c>
      <c r="K19" s="10">
        <f t="shared" si="1"/>
        <v>245.84</v>
      </c>
      <c r="L19" s="10" t="s">
        <v>67</v>
      </c>
    </row>
    <row r="20" s="2" customFormat="1" ht="25.25" customHeight="1" spans="1:12">
      <c r="A20" s="9">
        <v>18</v>
      </c>
      <c r="B20" s="10" t="s">
        <v>74</v>
      </c>
      <c r="C20" s="11" t="s">
        <v>78</v>
      </c>
      <c r="D20" s="10" t="s">
        <v>79</v>
      </c>
      <c r="E20" s="10" t="s">
        <v>80</v>
      </c>
      <c r="F20" s="10">
        <v>70</v>
      </c>
      <c r="G20" s="10">
        <f>3*60</f>
        <v>180</v>
      </c>
      <c r="H20" s="10">
        <v>30</v>
      </c>
      <c r="I20" s="10">
        <f t="shared" si="2"/>
        <v>180</v>
      </c>
      <c r="J20" s="10">
        <f t="shared" si="0"/>
        <v>100</v>
      </c>
      <c r="K20" s="10">
        <f t="shared" si="1"/>
        <v>360</v>
      </c>
      <c r="L20" s="10" t="s">
        <v>67</v>
      </c>
    </row>
    <row r="21" s="2" customFormat="1" ht="25.25" customHeight="1" spans="1:12">
      <c r="A21" s="9">
        <v>19</v>
      </c>
      <c r="B21" s="10" t="s">
        <v>81</v>
      </c>
      <c r="C21" s="11" t="s">
        <v>82</v>
      </c>
      <c r="D21" s="10" t="s">
        <v>83</v>
      </c>
      <c r="E21" s="10" t="s">
        <v>84</v>
      </c>
      <c r="F21" s="10">
        <v>60</v>
      </c>
      <c r="G21" s="10">
        <f>1*60+48.63</f>
        <v>108.63</v>
      </c>
      <c r="H21" s="10">
        <v>30</v>
      </c>
      <c r="I21" s="10">
        <f t="shared" si="2"/>
        <v>180</v>
      </c>
      <c r="J21" s="10">
        <f t="shared" si="0"/>
        <v>90</v>
      </c>
      <c r="K21" s="10">
        <f t="shared" si="1"/>
        <v>288.63</v>
      </c>
      <c r="L21" s="10" t="s">
        <v>67</v>
      </c>
    </row>
    <row r="22" s="2" customFormat="1" ht="25.25" customHeight="1" spans="1:12">
      <c r="A22" s="9">
        <v>20</v>
      </c>
      <c r="B22" s="10" t="s">
        <v>85</v>
      </c>
      <c r="C22" s="11" t="s">
        <v>86</v>
      </c>
      <c r="D22" s="10" t="s">
        <v>87</v>
      </c>
      <c r="E22" s="10" t="s">
        <v>88</v>
      </c>
      <c r="F22" s="10">
        <v>40</v>
      </c>
      <c r="G22" s="10">
        <f>1*60+19.32</f>
        <v>79.32</v>
      </c>
      <c r="H22" s="10">
        <v>40</v>
      </c>
      <c r="I22" s="10">
        <f>1*60+10.09</f>
        <v>70.09</v>
      </c>
      <c r="J22" s="10">
        <f t="shared" si="0"/>
        <v>80</v>
      </c>
      <c r="K22" s="10">
        <f t="shared" si="1"/>
        <v>149.41</v>
      </c>
      <c r="L22" s="10" t="s">
        <v>67</v>
      </c>
    </row>
    <row r="23" s="2" customFormat="1" ht="29" customHeight="1" spans="1:12">
      <c r="A23" s="9">
        <v>21</v>
      </c>
      <c r="B23" s="10" t="s">
        <v>89</v>
      </c>
      <c r="C23" s="11" t="s">
        <v>90</v>
      </c>
      <c r="D23" s="10" t="s">
        <v>91</v>
      </c>
      <c r="E23" s="10" t="s">
        <v>92</v>
      </c>
      <c r="F23" s="10">
        <v>40</v>
      </c>
      <c r="G23" s="10">
        <f>1*60+32.28</f>
        <v>92.28</v>
      </c>
      <c r="H23" s="10">
        <v>40</v>
      </c>
      <c r="I23" s="10">
        <f>2*60+48.75</f>
        <v>168.75</v>
      </c>
      <c r="J23" s="10">
        <f t="shared" si="0"/>
        <v>80</v>
      </c>
      <c r="K23" s="10">
        <f t="shared" si="1"/>
        <v>261.03</v>
      </c>
      <c r="L23" s="10" t="s">
        <v>67</v>
      </c>
    </row>
    <row r="24" s="2" customFormat="1" ht="25.25" customHeight="1" spans="1:12">
      <c r="A24" s="9">
        <v>22</v>
      </c>
      <c r="B24" s="10" t="s">
        <v>34</v>
      </c>
      <c r="C24" s="11" t="s">
        <v>35</v>
      </c>
      <c r="D24" s="10" t="s">
        <v>93</v>
      </c>
      <c r="E24" s="10" t="s">
        <v>37</v>
      </c>
      <c r="F24" s="10">
        <v>30</v>
      </c>
      <c r="G24" s="10">
        <f>1*60+30.97</f>
        <v>90.97</v>
      </c>
      <c r="H24" s="10">
        <v>20</v>
      </c>
      <c r="I24" s="10">
        <f>1*60+8.16</f>
        <v>68.16</v>
      </c>
      <c r="J24" s="10">
        <f t="shared" si="0"/>
        <v>50</v>
      </c>
      <c r="K24" s="10">
        <f t="shared" si="1"/>
        <v>159.13</v>
      </c>
      <c r="L24" s="10" t="s">
        <v>67</v>
      </c>
    </row>
    <row r="25" s="2" customFormat="1" ht="30" customHeight="1" spans="1:12">
      <c r="A25" s="9">
        <v>23</v>
      </c>
      <c r="B25" s="10" t="s">
        <v>50</v>
      </c>
      <c r="C25" s="11" t="s">
        <v>94</v>
      </c>
      <c r="D25" s="10" t="s">
        <v>95</v>
      </c>
      <c r="E25" s="10" t="s">
        <v>96</v>
      </c>
      <c r="F25" s="10">
        <v>20</v>
      </c>
      <c r="G25" s="10">
        <f>2.59</f>
        <v>2.59</v>
      </c>
      <c r="H25" s="10">
        <v>20</v>
      </c>
      <c r="I25" s="10">
        <f>5.69</f>
        <v>5.69</v>
      </c>
      <c r="J25" s="10">
        <f t="shared" si="0"/>
        <v>40</v>
      </c>
      <c r="K25" s="10">
        <f t="shared" si="1"/>
        <v>8.28</v>
      </c>
      <c r="L25" s="10" t="s">
        <v>67</v>
      </c>
    </row>
    <row r="26" s="2" customFormat="1" ht="25.25" customHeight="1" spans="1:12">
      <c r="A26" s="9">
        <v>24</v>
      </c>
      <c r="B26" s="10" t="s">
        <v>85</v>
      </c>
      <c r="C26" s="11" t="s">
        <v>86</v>
      </c>
      <c r="D26" s="10" t="s">
        <v>97</v>
      </c>
      <c r="E26" s="10" t="s">
        <v>98</v>
      </c>
      <c r="F26" s="10">
        <v>20</v>
      </c>
      <c r="G26" s="10">
        <f>11.5</f>
        <v>11.5</v>
      </c>
      <c r="H26" s="10">
        <v>20</v>
      </c>
      <c r="I26" s="10">
        <f>7.68</f>
        <v>7.68</v>
      </c>
      <c r="J26" s="10">
        <f t="shared" si="0"/>
        <v>40</v>
      </c>
      <c r="K26" s="10">
        <f t="shared" si="1"/>
        <v>19.18</v>
      </c>
      <c r="L26" s="10" t="s">
        <v>67</v>
      </c>
    </row>
    <row r="27" s="2" customFormat="1" ht="25.25" customHeight="1" spans="1:12">
      <c r="A27" s="9">
        <v>25</v>
      </c>
      <c r="B27" s="10" t="s">
        <v>46</v>
      </c>
      <c r="C27" s="11" t="s">
        <v>47</v>
      </c>
      <c r="D27" s="10" t="s">
        <v>99</v>
      </c>
      <c r="E27" s="10" t="s">
        <v>100</v>
      </c>
      <c r="F27" s="10">
        <v>20</v>
      </c>
      <c r="G27" s="10">
        <f>36.69</f>
        <v>36.69</v>
      </c>
      <c r="H27" s="10">
        <v>20</v>
      </c>
      <c r="I27" s="10">
        <f>8.97</f>
        <v>8.97</v>
      </c>
      <c r="J27" s="10">
        <f t="shared" si="0"/>
        <v>40</v>
      </c>
      <c r="K27" s="10">
        <f t="shared" si="1"/>
        <v>45.66</v>
      </c>
      <c r="L27" s="10" t="s">
        <v>67</v>
      </c>
    </row>
    <row r="28" s="2" customFormat="1" ht="25.25" customHeight="1" spans="1:12">
      <c r="A28" s="9">
        <v>26</v>
      </c>
      <c r="B28" s="10" t="s">
        <v>81</v>
      </c>
      <c r="C28" s="17" t="s">
        <v>101</v>
      </c>
      <c r="D28" s="10" t="s">
        <v>102</v>
      </c>
      <c r="E28" s="10" t="s">
        <v>103</v>
      </c>
      <c r="F28" s="10">
        <v>0</v>
      </c>
      <c r="G28" s="10">
        <f>12.75</f>
        <v>12.75</v>
      </c>
      <c r="H28" s="10">
        <v>0</v>
      </c>
      <c r="I28" s="10">
        <f>1.22</f>
        <v>1.22</v>
      </c>
      <c r="J28" s="10">
        <f t="shared" si="0"/>
        <v>0</v>
      </c>
      <c r="K28" s="10">
        <f t="shared" si="1"/>
        <v>13.97</v>
      </c>
      <c r="L28" s="10" t="s">
        <v>67</v>
      </c>
    </row>
  </sheetData>
  <mergeCells count="1">
    <mergeCell ref="A1:K1"/>
  </mergeCells>
  <printOptions horizontalCentered="1"/>
  <pageMargins left="0.393700787401575" right="0.393700787401575" top="0.393700787401575" bottom="0.393700787401575" header="0" footer="0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zoomScale="88" zoomScaleNormal="88" workbookViewId="0">
      <pane ySplit="2" topLeftCell="A9" activePane="bottomLeft" state="frozen"/>
      <selection/>
      <selection pane="bottomLeft" activeCell="B19" sqref="B19"/>
    </sheetView>
  </sheetViews>
  <sheetFormatPr defaultColWidth="9.14285714285714" defaultRowHeight="12.75"/>
  <cols>
    <col min="1" max="1" width="10.0666666666667" style="3" customWidth="1"/>
    <col min="2" max="2" width="8.57142857142857" style="3" customWidth="1"/>
    <col min="3" max="3" width="38.152380952381" style="4" customWidth="1"/>
    <col min="4" max="4" width="17.8571428571429" style="5" customWidth="1"/>
    <col min="5" max="5" width="15.7142857142857" style="5" customWidth="1"/>
    <col min="6" max="6" width="9.14285714285714" style="3" customWidth="1"/>
    <col min="7" max="7" width="11.5238095238095" style="3" customWidth="1"/>
    <col min="8" max="8" width="9.14285714285714" style="3" customWidth="1"/>
    <col min="9" max="9" width="10.552380952381" style="3" customWidth="1"/>
    <col min="10" max="11" width="9.14285714285714" style="3" customWidth="1"/>
    <col min="12" max="12" width="13.4666666666667" style="3" customWidth="1"/>
    <col min="13" max="219" width="9.14285714285714" style="3"/>
    <col min="220" max="220" width="17.847619047619" style="3" customWidth="1"/>
    <col min="221" max="221" width="48" style="3" customWidth="1"/>
    <col min="222" max="222" width="15.7142857142857" style="3" customWidth="1"/>
    <col min="223" max="223" width="13.7142857142857" style="3" customWidth="1"/>
    <col min="224" max="475" width="9.14285714285714" style="3"/>
    <col min="476" max="476" width="17.847619047619" style="3" customWidth="1"/>
    <col min="477" max="477" width="48" style="3" customWidth="1"/>
    <col min="478" max="478" width="15.7142857142857" style="3" customWidth="1"/>
    <col min="479" max="479" width="13.7142857142857" style="3" customWidth="1"/>
    <col min="480" max="731" width="9.14285714285714" style="3"/>
    <col min="732" max="732" width="17.847619047619" style="3" customWidth="1"/>
    <col min="733" max="733" width="48" style="3" customWidth="1"/>
    <col min="734" max="734" width="15.7142857142857" style="3" customWidth="1"/>
    <col min="735" max="735" width="13.7142857142857" style="3" customWidth="1"/>
    <col min="736" max="987" width="9.14285714285714" style="3"/>
    <col min="988" max="988" width="17.847619047619" style="3" customWidth="1"/>
    <col min="989" max="989" width="48" style="3" customWidth="1"/>
    <col min="990" max="990" width="15.7142857142857" style="3" customWidth="1"/>
    <col min="991" max="991" width="13.7142857142857" style="3" customWidth="1"/>
    <col min="992" max="1243" width="9.14285714285714" style="3"/>
    <col min="1244" max="1244" width="17.847619047619" style="3" customWidth="1"/>
    <col min="1245" max="1245" width="48" style="3" customWidth="1"/>
    <col min="1246" max="1246" width="15.7142857142857" style="3" customWidth="1"/>
    <col min="1247" max="1247" width="13.7142857142857" style="3" customWidth="1"/>
    <col min="1248" max="1499" width="9.14285714285714" style="3"/>
    <col min="1500" max="1500" width="17.847619047619" style="3" customWidth="1"/>
    <col min="1501" max="1501" width="48" style="3" customWidth="1"/>
    <col min="1502" max="1502" width="15.7142857142857" style="3" customWidth="1"/>
    <col min="1503" max="1503" width="13.7142857142857" style="3" customWidth="1"/>
    <col min="1504" max="1755" width="9.14285714285714" style="3"/>
    <col min="1756" max="1756" width="17.847619047619" style="3" customWidth="1"/>
    <col min="1757" max="1757" width="48" style="3" customWidth="1"/>
    <col min="1758" max="1758" width="15.7142857142857" style="3" customWidth="1"/>
    <col min="1759" max="1759" width="13.7142857142857" style="3" customWidth="1"/>
    <col min="1760" max="2011" width="9.14285714285714" style="3"/>
    <col min="2012" max="2012" width="17.847619047619" style="3" customWidth="1"/>
    <col min="2013" max="2013" width="48" style="3" customWidth="1"/>
    <col min="2014" max="2014" width="15.7142857142857" style="3" customWidth="1"/>
    <col min="2015" max="2015" width="13.7142857142857" style="3" customWidth="1"/>
    <col min="2016" max="2267" width="9.14285714285714" style="3"/>
    <col min="2268" max="2268" width="17.847619047619" style="3" customWidth="1"/>
    <col min="2269" max="2269" width="48" style="3" customWidth="1"/>
    <col min="2270" max="2270" width="15.7142857142857" style="3" customWidth="1"/>
    <col min="2271" max="2271" width="13.7142857142857" style="3" customWidth="1"/>
    <col min="2272" max="2523" width="9.14285714285714" style="3"/>
    <col min="2524" max="2524" width="17.847619047619" style="3" customWidth="1"/>
    <col min="2525" max="2525" width="48" style="3" customWidth="1"/>
    <col min="2526" max="2526" width="15.7142857142857" style="3" customWidth="1"/>
    <col min="2527" max="2527" width="13.7142857142857" style="3" customWidth="1"/>
    <col min="2528" max="2779" width="9.14285714285714" style="3"/>
    <col min="2780" max="2780" width="17.847619047619" style="3" customWidth="1"/>
    <col min="2781" max="2781" width="48" style="3" customWidth="1"/>
    <col min="2782" max="2782" width="15.7142857142857" style="3" customWidth="1"/>
    <col min="2783" max="2783" width="13.7142857142857" style="3" customWidth="1"/>
    <col min="2784" max="3035" width="9.14285714285714" style="3"/>
    <col min="3036" max="3036" width="17.847619047619" style="3" customWidth="1"/>
    <col min="3037" max="3037" width="48" style="3" customWidth="1"/>
    <col min="3038" max="3038" width="15.7142857142857" style="3" customWidth="1"/>
    <col min="3039" max="3039" width="13.7142857142857" style="3" customWidth="1"/>
    <col min="3040" max="3291" width="9.14285714285714" style="3"/>
    <col min="3292" max="3292" width="17.847619047619" style="3" customWidth="1"/>
    <col min="3293" max="3293" width="48" style="3" customWidth="1"/>
    <col min="3294" max="3294" width="15.7142857142857" style="3" customWidth="1"/>
    <col min="3295" max="3295" width="13.7142857142857" style="3" customWidth="1"/>
    <col min="3296" max="3547" width="9.14285714285714" style="3"/>
    <col min="3548" max="3548" width="17.847619047619" style="3" customWidth="1"/>
    <col min="3549" max="3549" width="48" style="3" customWidth="1"/>
    <col min="3550" max="3550" width="15.7142857142857" style="3" customWidth="1"/>
    <col min="3551" max="3551" width="13.7142857142857" style="3" customWidth="1"/>
    <col min="3552" max="3803" width="9.14285714285714" style="3"/>
    <col min="3804" max="3804" width="17.847619047619" style="3" customWidth="1"/>
    <col min="3805" max="3805" width="48" style="3" customWidth="1"/>
    <col min="3806" max="3806" width="15.7142857142857" style="3" customWidth="1"/>
    <col min="3807" max="3807" width="13.7142857142857" style="3" customWidth="1"/>
    <col min="3808" max="4059" width="9.14285714285714" style="3"/>
    <col min="4060" max="4060" width="17.847619047619" style="3" customWidth="1"/>
    <col min="4061" max="4061" width="48" style="3" customWidth="1"/>
    <col min="4062" max="4062" width="15.7142857142857" style="3" customWidth="1"/>
    <col min="4063" max="4063" width="13.7142857142857" style="3" customWidth="1"/>
    <col min="4064" max="4315" width="9.14285714285714" style="3"/>
    <col min="4316" max="4316" width="17.847619047619" style="3" customWidth="1"/>
    <col min="4317" max="4317" width="48" style="3" customWidth="1"/>
    <col min="4318" max="4318" width="15.7142857142857" style="3" customWidth="1"/>
    <col min="4319" max="4319" width="13.7142857142857" style="3" customWidth="1"/>
    <col min="4320" max="4571" width="9.14285714285714" style="3"/>
    <col min="4572" max="4572" width="17.847619047619" style="3" customWidth="1"/>
    <col min="4573" max="4573" width="48" style="3" customWidth="1"/>
    <col min="4574" max="4574" width="15.7142857142857" style="3" customWidth="1"/>
    <col min="4575" max="4575" width="13.7142857142857" style="3" customWidth="1"/>
    <col min="4576" max="4827" width="9.14285714285714" style="3"/>
    <col min="4828" max="4828" width="17.847619047619" style="3" customWidth="1"/>
    <col min="4829" max="4829" width="48" style="3" customWidth="1"/>
    <col min="4830" max="4830" width="15.7142857142857" style="3" customWidth="1"/>
    <col min="4831" max="4831" width="13.7142857142857" style="3" customWidth="1"/>
    <col min="4832" max="5083" width="9.14285714285714" style="3"/>
    <col min="5084" max="5084" width="17.847619047619" style="3" customWidth="1"/>
    <col min="5085" max="5085" width="48" style="3" customWidth="1"/>
    <col min="5086" max="5086" width="15.7142857142857" style="3" customWidth="1"/>
    <col min="5087" max="5087" width="13.7142857142857" style="3" customWidth="1"/>
    <col min="5088" max="5339" width="9.14285714285714" style="3"/>
    <col min="5340" max="5340" width="17.847619047619" style="3" customWidth="1"/>
    <col min="5341" max="5341" width="48" style="3" customWidth="1"/>
    <col min="5342" max="5342" width="15.7142857142857" style="3" customWidth="1"/>
    <col min="5343" max="5343" width="13.7142857142857" style="3" customWidth="1"/>
    <col min="5344" max="5595" width="9.14285714285714" style="3"/>
    <col min="5596" max="5596" width="17.847619047619" style="3" customWidth="1"/>
    <col min="5597" max="5597" width="48" style="3" customWidth="1"/>
    <col min="5598" max="5598" width="15.7142857142857" style="3" customWidth="1"/>
    <col min="5599" max="5599" width="13.7142857142857" style="3" customWidth="1"/>
    <col min="5600" max="5851" width="9.14285714285714" style="3"/>
    <col min="5852" max="5852" width="17.847619047619" style="3" customWidth="1"/>
    <col min="5853" max="5853" width="48" style="3" customWidth="1"/>
    <col min="5854" max="5854" width="15.7142857142857" style="3" customWidth="1"/>
    <col min="5855" max="5855" width="13.7142857142857" style="3" customWidth="1"/>
    <col min="5856" max="6107" width="9.14285714285714" style="3"/>
    <col min="6108" max="6108" width="17.847619047619" style="3" customWidth="1"/>
    <col min="6109" max="6109" width="48" style="3" customWidth="1"/>
    <col min="6110" max="6110" width="15.7142857142857" style="3" customWidth="1"/>
    <col min="6111" max="6111" width="13.7142857142857" style="3" customWidth="1"/>
    <col min="6112" max="6363" width="9.14285714285714" style="3"/>
    <col min="6364" max="6364" width="17.847619047619" style="3" customWidth="1"/>
    <col min="6365" max="6365" width="48" style="3" customWidth="1"/>
    <col min="6366" max="6366" width="15.7142857142857" style="3" customWidth="1"/>
    <col min="6367" max="6367" width="13.7142857142857" style="3" customWidth="1"/>
    <col min="6368" max="6619" width="9.14285714285714" style="3"/>
    <col min="6620" max="6620" width="17.847619047619" style="3" customWidth="1"/>
    <col min="6621" max="6621" width="48" style="3" customWidth="1"/>
    <col min="6622" max="6622" width="15.7142857142857" style="3" customWidth="1"/>
    <col min="6623" max="6623" width="13.7142857142857" style="3" customWidth="1"/>
    <col min="6624" max="6875" width="9.14285714285714" style="3"/>
    <col min="6876" max="6876" width="17.847619047619" style="3" customWidth="1"/>
    <col min="6877" max="6877" width="48" style="3" customWidth="1"/>
    <col min="6878" max="6878" width="15.7142857142857" style="3" customWidth="1"/>
    <col min="6879" max="6879" width="13.7142857142857" style="3" customWidth="1"/>
    <col min="6880" max="7131" width="9.14285714285714" style="3"/>
    <col min="7132" max="7132" width="17.847619047619" style="3" customWidth="1"/>
    <col min="7133" max="7133" width="48" style="3" customWidth="1"/>
    <col min="7134" max="7134" width="15.7142857142857" style="3" customWidth="1"/>
    <col min="7135" max="7135" width="13.7142857142857" style="3" customWidth="1"/>
    <col min="7136" max="7387" width="9.14285714285714" style="3"/>
    <col min="7388" max="7388" width="17.847619047619" style="3" customWidth="1"/>
    <col min="7389" max="7389" width="48" style="3" customWidth="1"/>
    <col min="7390" max="7390" width="15.7142857142857" style="3" customWidth="1"/>
    <col min="7391" max="7391" width="13.7142857142857" style="3" customWidth="1"/>
    <col min="7392" max="7643" width="9.14285714285714" style="3"/>
    <col min="7644" max="7644" width="17.847619047619" style="3" customWidth="1"/>
    <col min="7645" max="7645" width="48" style="3" customWidth="1"/>
    <col min="7646" max="7646" width="15.7142857142857" style="3" customWidth="1"/>
    <col min="7647" max="7647" width="13.7142857142857" style="3" customWidth="1"/>
    <col min="7648" max="7899" width="9.14285714285714" style="3"/>
    <col min="7900" max="7900" width="17.847619047619" style="3" customWidth="1"/>
    <col min="7901" max="7901" width="48" style="3" customWidth="1"/>
    <col min="7902" max="7902" width="15.7142857142857" style="3" customWidth="1"/>
    <col min="7903" max="7903" width="13.7142857142857" style="3" customWidth="1"/>
    <col min="7904" max="8155" width="9.14285714285714" style="3"/>
    <col min="8156" max="8156" width="17.847619047619" style="3" customWidth="1"/>
    <col min="8157" max="8157" width="48" style="3" customWidth="1"/>
    <col min="8158" max="8158" width="15.7142857142857" style="3" customWidth="1"/>
    <col min="8159" max="8159" width="13.7142857142857" style="3" customWidth="1"/>
    <col min="8160" max="8411" width="9.14285714285714" style="3"/>
    <col min="8412" max="8412" width="17.847619047619" style="3" customWidth="1"/>
    <col min="8413" max="8413" width="48" style="3" customWidth="1"/>
    <col min="8414" max="8414" width="15.7142857142857" style="3" customWidth="1"/>
    <col min="8415" max="8415" width="13.7142857142857" style="3" customWidth="1"/>
    <col min="8416" max="8667" width="9.14285714285714" style="3"/>
    <col min="8668" max="8668" width="17.847619047619" style="3" customWidth="1"/>
    <col min="8669" max="8669" width="48" style="3" customWidth="1"/>
    <col min="8670" max="8670" width="15.7142857142857" style="3" customWidth="1"/>
    <col min="8671" max="8671" width="13.7142857142857" style="3" customWidth="1"/>
    <col min="8672" max="8923" width="9.14285714285714" style="3"/>
    <col min="8924" max="8924" width="17.847619047619" style="3" customWidth="1"/>
    <col min="8925" max="8925" width="48" style="3" customWidth="1"/>
    <col min="8926" max="8926" width="15.7142857142857" style="3" customWidth="1"/>
    <col min="8927" max="8927" width="13.7142857142857" style="3" customWidth="1"/>
    <col min="8928" max="9179" width="9.14285714285714" style="3"/>
    <col min="9180" max="9180" width="17.847619047619" style="3" customWidth="1"/>
    <col min="9181" max="9181" width="48" style="3" customWidth="1"/>
    <col min="9182" max="9182" width="15.7142857142857" style="3" customWidth="1"/>
    <col min="9183" max="9183" width="13.7142857142857" style="3" customWidth="1"/>
    <col min="9184" max="9435" width="9.14285714285714" style="3"/>
    <col min="9436" max="9436" width="17.847619047619" style="3" customWidth="1"/>
    <col min="9437" max="9437" width="48" style="3" customWidth="1"/>
    <col min="9438" max="9438" width="15.7142857142857" style="3" customWidth="1"/>
    <col min="9439" max="9439" width="13.7142857142857" style="3" customWidth="1"/>
    <col min="9440" max="9691" width="9.14285714285714" style="3"/>
    <col min="9692" max="9692" width="17.847619047619" style="3" customWidth="1"/>
    <col min="9693" max="9693" width="48" style="3" customWidth="1"/>
    <col min="9694" max="9694" width="15.7142857142857" style="3" customWidth="1"/>
    <col min="9695" max="9695" width="13.7142857142857" style="3" customWidth="1"/>
    <col min="9696" max="9947" width="9.14285714285714" style="3"/>
    <col min="9948" max="9948" width="17.847619047619" style="3" customWidth="1"/>
    <col min="9949" max="9949" width="48" style="3" customWidth="1"/>
    <col min="9950" max="9950" width="15.7142857142857" style="3" customWidth="1"/>
    <col min="9951" max="9951" width="13.7142857142857" style="3" customWidth="1"/>
    <col min="9952" max="10203" width="9.14285714285714" style="3"/>
    <col min="10204" max="10204" width="17.847619047619" style="3" customWidth="1"/>
    <col min="10205" max="10205" width="48" style="3" customWidth="1"/>
    <col min="10206" max="10206" width="15.7142857142857" style="3" customWidth="1"/>
    <col min="10207" max="10207" width="13.7142857142857" style="3" customWidth="1"/>
    <col min="10208" max="10459" width="9.14285714285714" style="3"/>
    <col min="10460" max="10460" width="17.847619047619" style="3" customWidth="1"/>
    <col min="10461" max="10461" width="48" style="3" customWidth="1"/>
    <col min="10462" max="10462" width="15.7142857142857" style="3" customWidth="1"/>
    <col min="10463" max="10463" width="13.7142857142857" style="3" customWidth="1"/>
    <col min="10464" max="10715" width="9.14285714285714" style="3"/>
    <col min="10716" max="10716" width="17.847619047619" style="3" customWidth="1"/>
    <col min="10717" max="10717" width="48" style="3" customWidth="1"/>
    <col min="10718" max="10718" width="15.7142857142857" style="3" customWidth="1"/>
    <col min="10719" max="10719" width="13.7142857142857" style="3" customWidth="1"/>
    <col min="10720" max="10971" width="9.14285714285714" style="3"/>
    <col min="10972" max="10972" width="17.847619047619" style="3" customWidth="1"/>
    <col min="10973" max="10973" width="48" style="3" customWidth="1"/>
    <col min="10974" max="10974" width="15.7142857142857" style="3" customWidth="1"/>
    <col min="10975" max="10975" width="13.7142857142857" style="3" customWidth="1"/>
    <col min="10976" max="11227" width="9.14285714285714" style="3"/>
    <col min="11228" max="11228" width="17.847619047619" style="3" customWidth="1"/>
    <col min="11229" max="11229" width="48" style="3" customWidth="1"/>
    <col min="11230" max="11230" width="15.7142857142857" style="3" customWidth="1"/>
    <col min="11231" max="11231" width="13.7142857142857" style="3" customWidth="1"/>
    <col min="11232" max="11483" width="9.14285714285714" style="3"/>
    <col min="11484" max="11484" width="17.847619047619" style="3" customWidth="1"/>
    <col min="11485" max="11485" width="48" style="3" customWidth="1"/>
    <col min="11486" max="11486" width="15.7142857142857" style="3" customWidth="1"/>
    <col min="11487" max="11487" width="13.7142857142857" style="3" customWidth="1"/>
    <col min="11488" max="11739" width="9.14285714285714" style="3"/>
    <col min="11740" max="11740" width="17.847619047619" style="3" customWidth="1"/>
    <col min="11741" max="11741" width="48" style="3" customWidth="1"/>
    <col min="11742" max="11742" width="15.7142857142857" style="3" customWidth="1"/>
    <col min="11743" max="11743" width="13.7142857142857" style="3" customWidth="1"/>
    <col min="11744" max="11995" width="9.14285714285714" style="3"/>
    <col min="11996" max="11996" width="17.847619047619" style="3" customWidth="1"/>
    <col min="11997" max="11997" width="48" style="3" customWidth="1"/>
    <col min="11998" max="11998" width="15.7142857142857" style="3" customWidth="1"/>
    <col min="11999" max="11999" width="13.7142857142857" style="3" customWidth="1"/>
    <col min="12000" max="12251" width="9.14285714285714" style="3"/>
    <col min="12252" max="12252" width="17.847619047619" style="3" customWidth="1"/>
    <col min="12253" max="12253" width="48" style="3" customWidth="1"/>
    <col min="12254" max="12254" width="15.7142857142857" style="3" customWidth="1"/>
    <col min="12255" max="12255" width="13.7142857142857" style="3" customWidth="1"/>
    <col min="12256" max="12507" width="9.14285714285714" style="3"/>
    <col min="12508" max="12508" width="17.847619047619" style="3" customWidth="1"/>
    <col min="12509" max="12509" width="48" style="3" customWidth="1"/>
    <col min="12510" max="12510" width="15.7142857142857" style="3" customWidth="1"/>
    <col min="12511" max="12511" width="13.7142857142857" style="3" customWidth="1"/>
    <col min="12512" max="12763" width="9.14285714285714" style="3"/>
    <col min="12764" max="12764" width="17.847619047619" style="3" customWidth="1"/>
    <col min="12765" max="12765" width="48" style="3" customWidth="1"/>
    <col min="12766" max="12766" width="15.7142857142857" style="3" customWidth="1"/>
    <col min="12767" max="12767" width="13.7142857142857" style="3" customWidth="1"/>
    <col min="12768" max="13019" width="9.14285714285714" style="3"/>
    <col min="13020" max="13020" width="17.847619047619" style="3" customWidth="1"/>
    <col min="13021" max="13021" width="48" style="3" customWidth="1"/>
    <col min="13022" max="13022" width="15.7142857142857" style="3" customWidth="1"/>
    <col min="13023" max="13023" width="13.7142857142857" style="3" customWidth="1"/>
    <col min="13024" max="13275" width="9.14285714285714" style="3"/>
    <col min="13276" max="13276" width="17.847619047619" style="3" customWidth="1"/>
    <col min="13277" max="13277" width="48" style="3" customWidth="1"/>
    <col min="13278" max="13278" width="15.7142857142857" style="3" customWidth="1"/>
    <col min="13279" max="13279" width="13.7142857142857" style="3" customWidth="1"/>
    <col min="13280" max="13531" width="9.14285714285714" style="3"/>
    <col min="13532" max="13532" width="17.847619047619" style="3" customWidth="1"/>
    <col min="13533" max="13533" width="48" style="3" customWidth="1"/>
    <col min="13534" max="13534" width="15.7142857142857" style="3" customWidth="1"/>
    <col min="13535" max="13535" width="13.7142857142857" style="3" customWidth="1"/>
    <col min="13536" max="13787" width="9.14285714285714" style="3"/>
    <col min="13788" max="13788" width="17.847619047619" style="3" customWidth="1"/>
    <col min="13789" max="13789" width="48" style="3" customWidth="1"/>
    <col min="13790" max="13790" width="15.7142857142857" style="3" customWidth="1"/>
    <col min="13791" max="13791" width="13.7142857142857" style="3" customWidth="1"/>
    <col min="13792" max="14043" width="9.14285714285714" style="3"/>
    <col min="14044" max="14044" width="17.847619047619" style="3" customWidth="1"/>
    <col min="14045" max="14045" width="48" style="3" customWidth="1"/>
    <col min="14046" max="14046" width="15.7142857142857" style="3" customWidth="1"/>
    <col min="14047" max="14047" width="13.7142857142857" style="3" customWidth="1"/>
    <col min="14048" max="14299" width="9.14285714285714" style="3"/>
    <col min="14300" max="14300" width="17.847619047619" style="3" customWidth="1"/>
    <col min="14301" max="14301" width="48" style="3" customWidth="1"/>
    <col min="14302" max="14302" width="15.7142857142857" style="3" customWidth="1"/>
    <col min="14303" max="14303" width="13.7142857142857" style="3" customWidth="1"/>
    <col min="14304" max="14555" width="9.14285714285714" style="3"/>
    <col min="14556" max="14556" width="17.847619047619" style="3" customWidth="1"/>
    <col min="14557" max="14557" width="48" style="3" customWidth="1"/>
    <col min="14558" max="14558" width="15.7142857142857" style="3" customWidth="1"/>
    <col min="14559" max="14559" width="13.7142857142857" style="3" customWidth="1"/>
    <col min="14560" max="14811" width="9.14285714285714" style="3"/>
    <col min="14812" max="14812" width="17.847619047619" style="3" customWidth="1"/>
    <col min="14813" max="14813" width="48" style="3" customWidth="1"/>
    <col min="14814" max="14814" width="15.7142857142857" style="3" customWidth="1"/>
    <col min="14815" max="14815" width="13.7142857142857" style="3" customWidth="1"/>
    <col min="14816" max="15067" width="9.14285714285714" style="3"/>
    <col min="15068" max="15068" width="17.847619047619" style="3" customWidth="1"/>
    <col min="15069" max="15069" width="48" style="3" customWidth="1"/>
    <col min="15070" max="15070" width="15.7142857142857" style="3" customWidth="1"/>
    <col min="15071" max="15071" width="13.7142857142857" style="3" customWidth="1"/>
    <col min="15072" max="15323" width="9.14285714285714" style="3"/>
    <col min="15324" max="15324" width="17.847619047619" style="3" customWidth="1"/>
    <col min="15325" max="15325" width="48" style="3" customWidth="1"/>
    <col min="15326" max="15326" width="15.7142857142857" style="3" customWidth="1"/>
    <col min="15327" max="15327" width="13.7142857142857" style="3" customWidth="1"/>
    <col min="15328" max="15579" width="9.14285714285714" style="3"/>
    <col min="15580" max="15580" width="17.847619047619" style="3" customWidth="1"/>
    <col min="15581" max="15581" width="48" style="3" customWidth="1"/>
    <col min="15582" max="15582" width="15.7142857142857" style="3" customWidth="1"/>
    <col min="15583" max="15583" width="13.7142857142857" style="3" customWidth="1"/>
    <col min="15584" max="15835" width="9.14285714285714" style="3"/>
    <col min="15836" max="15836" width="17.847619047619" style="3" customWidth="1"/>
    <col min="15837" max="15837" width="48" style="3" customWidth="1"/>
    <col min="15838" max="15838" width="15.7142857142857" style="3" customWidth="1"/>
    <col min="15839" max="15839" width="13.7142857142857" style="3" customWidth="1"/>
    <col min="15840" max="16091" width="9.14285714285714" style="3"/>
    <col min="16092" max="16092" width="17.847619047619" style="3" customWidth="1"/>
    <col min="16093" max="16093" width="48" style="3" customWidth="1"/>
    <col min="16094" max="16094" width="15.7142857142857" style="3" customWidth="1"/>
    <col min="16095" max="16095" width="13.7142857142857" style="3" customWidth="1"/>
    <col min="16096" max="16384" width="9.14285714285714" style="3"/>
  </cols>
  <sheetData>
    <row r="1" ht="26.1" customHeight="1" spans="1:11">
      <c r="A1" s="6" t="s">
        <v>104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" customHeight="1" spans="1:12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</row>
    <row r="3" ht="25.25" customHeight="1" spans="1:12">
      <c r="A3" s="9">
        <v>1</v>
      </c>
      <c r="B3" s="10" t="s">
        <v>81</v>
      </c>
      <c r="C3" s="11" t="s">
        <v>105</v>
      </c>
      <c r="D3" s="10" t="s">
        <v>106</v>
      </c>
      <c r="E3" s="10" t="s">
        <v>107</v>
      </c>
      <c r="F3" s="10">
        <v>410</v>
      </c>
      <c r="G3" s="10">
        <f>2*60+19.34</f>
        <v>139.34</v>
      </c>
      <c r="H3" s="10">
        <v>490</v>
      </c>
      <c r="I3" s="10">
        <f>3*60</f>
        <v>180</v>
      </c>
      <c r="J3" s="10">
        <f t="shared" ref="J3:J8" si="0">F3+H3</f>
        <v>900</v>
      </c>
      <c r="K3" s="10">
        <f t="shared" ref="K3:K29" si="1">G3+I3</f>
        <v>319.34</v>
      </c>
      <c r="L3" s="16" t="s">
        <v>17</v>
      </c>
    </row>
    <row r="4" ht="25.25" customHeight="1" spans="1:12">
      <c r="A4" s="9">
        <v>2</v>
      </c>
      <c r="B4" s="10" t="s">
        <v>108</v>
      </c>
      <c r="C4" s="11" t="s">
        <v>109</v>
      </c>
      <c r="D4" s="10" t="s">
        <v>110</v>
      </c>
      <c r="E4" s="10" t="s">
        <v>111</v>
      </c>
      <c r="F4" s="10">
        <v>400</v>
      </c>
      <c r="G4" s="10">
        <f>2*60+41.94</f>
        <v>161.94</v>
      </c>
      <c r="H4" s="10">
        <v>370</v>
      </c>
      <c r="I4" s="10">
        <f>2*60+49.78</f>
        <v>169.78</v>
      </c>
      <c r="J4" s="10">
        <f t="shared" si="0"/>
        <v>770</v>
      </c>
      <c r="K4" s="10">
        <f t="shared" si="1"/>
        <v>331.72</v>
      </c>
      <c r="L4" s="16" t="s">
        <v>17</v>
      </c>
    </row>
    <row r="5" ht="25.25" customHeight="1" spans="1:12">
      <c r="A5" s="9">
        <v>3</v>
      </c>
      <c r="B5" s="10" t="s">
        <v>18</v>
      </c>
      <c r="C5" s="11" t="s">
        <v>19</v>
      </c>
      <c r="D5" s="10" t="s">
        <v>112</v>
      </c>
      <c r="E5" s="10" t="s">
        <v>113</v>
      </c>
      <c r="F5" s="10">
        <v>410</v>
      </c>
      <c r="G5" s="10">
        <f>2*60+14.37</f>
        <v>134.37</v>
      </c>
      <c r="H5" s="10">
        <v>340</v>
      </c>
      <c r="I5" s="10">
        <f>3*60</f>
        <v>180</v>
      </c>
      <c r="J5" s="10">
        <f t="shared" si="0"/>
        <v>750</v>
      </c>
      <c r="K5" s="10">
        <f t="shared" si="1"/>
        <v>314.37</v>
      </c>
      <c r="L5" s="16" t="s">
        <v>17</v>
      </c>
    </row>
    <row r="6" ht="25.25" customHeight="1" spans="1:12">
      <c r="A6" s="9">
        <v>4</v>
      </c>
      <c r="B6" s="10" t="s">
        <v>81</v>
      </c>
      <c r="C6" s="17" t="s">
        <v>105</v>
      </c>
      <c r="D6" s="10" t="s">
        <v>114</v>
      </c>
      <c r="E6" s="10" t="s">
        <v>115</v>
      </c>
      <c r="F6" s="10">
        <v>290</v>
      </c>
      <c r="G6" s="10">
        <f>2*60+56.06</f>
        <v>176.06</v>
      </c>
      <c r="H6" s="10">
        <v>420</v>
      </c>
      <c r="I6" s="10">
        <f>3*60</f>
        <v>180</v>
      </c>
      <c r="J6" s="10">
        <f t="shared" si="0"/>
        <v>710</v>
      </c>
      <c r="K6" s="10">
        <f t="shared" si="1"/>
        <v>356.06</v>
      </c>
      <c r="L6" s="16" t="s">
        <v>17</v>
      </c>
    </row>
    <row r="7" ht="25.25" customHeight="1" spans="1:12">
      <c r="A7" s="9">
        <v>5</v>
      </c>
      <c r="B7" s="10" t="s">
        <v>18</v>
      </c>
      <c r="C7" s="17" t="s">
        <v>116</v>
      </c>
      <c r="D7" s="10" t="s">
        <v>117</v>
      </c>
      <c r="E7" s="10" t="s">
        <v>118</v>
      </c>
      <c r="F7" s="10">
        <v>310</v>
      </c>
      <c r="G7" s="10">
        <f>2*60+7.44</f>
        <v>127.44</v>
      </c>
      <c r="H7" s="10">
        <v>350</v>
      </c>
      <c r="I7" s="10">
        <f>1*60+55.62</f>
        <v>115.62</v>
      </c>
      <c r="J7" s="10">
        <f t="shared" si="0"/>
        <v>660</v>
      </c>
      <c r="K7" s="10">
        <f t="shared" si="1"/>
        <v>243.06</v>
      </c>
      <c r="L7" s="16" t="s">
        <v>33</v>
      </c>
    </row>
    <row r="8" ht="29" customHeight="1" spans="1:12">
      <c r="A8" s="9">
        <v>6</v>
      </c>
      <c r="B8" s="10" t="s">
        <v>119</v>
      </c>
      <c r="C8" s="11" t="s">
        <v>120</v>
      </c>
      <c r="D8" s="10" t="s">
        <v>121</v>
      </c>
      <c r="E8" s="10" t="s">
        <v>122</v>
      </c>
      <c r="F8" s="10">
        <v>260</v>
      </c>
      <c r="G8" s="10">
        <f>2*60+37.22</f>
        <v>157.22</v>
      </c>
      <c r="H8" s="10">
        <v>390</v>
      </c>
      <c r="I8" s="10">
        <f>2*60+23.59</f>
        <v>143.59</v>
      </c>
      <c r="J8" s="10">
        <f t="shared" si="0"/>
        <v>650</v>
      </c>
      <c r="K8" s="10">
        <f t="shared" si="1"/>
        <v>300.81</v>
      </c>
      <c r="L8" s="16" t="s">
        <v>33</v>
      </c>
    </row>
    <row r="9" ht="25.25" customHeight="1" spans="1:12">
      <c r="A9" s="9">
        <v>7</v>
      </c>
      <c r="B9" s="10" t="s">
        <v>13</v>
      </c>
      <c r="C9" s="11" t="s">
        <v>123</v>
      </c>
      <c r="D9" s="10" t="s">
        <v>124</v>
      </c>
      <c r="E9" s="10" t="s">
        <v>125</v>
      </c>
      <c r="F9" s="10">
        <v>400</v>
      </c>
      <c r="G9" s="10">
        <f>2*60+53.53</f>
        <v>173.53</v>
      </c>
      <c r="H9" s="10">
        <v>220</v>
      </c>
      <c r="I9" s="10">
        <f>2*60+19.22</f>
        <v>139.22</v>
      </c>
      <c r="J9" s="10">
        <v>620</v>
      </c>
      <c r="K9" s="10">
        <f t="shared" si="1"/>
        <v>312.75</v>
      </c>
      <c r="L9" s="16" t="s">
        <v>33</v>
      </c>
    </row>
    <row r="10" ht="25.25" customHeight="1" spans="1:12">
      <c r="A10" s="9">
        <v>8</v>
      </c>
      <c r="B10" s="10" t="s">
        <v>126</v>
      </c>
      <c r="C10" s="11" t="s">
        <v>127</v>
      </c>
      <c r="D10" s="10" t="s">
        <v>128</v>
      </c>
      <c r="E10" s="10" t="s">
        <v>129</v>
      </c>
      <c r="F10" s="10">
        <v>370</v>
      </c>
      <c r="G10" s="10">
        <f>2*60+52.38</f>
        <v>172.38</v>
      </c>
      <c r="H10" s="10">
        <v>220</v>
      </c>
      <c r="I10" s="10">
        <f>3*60</f>
        <v>180</v>
      </c>
      <c r="J10" s="10">
        <f t="shared" ref="J10:J29" si="2">F10+H10</f>
        <v>590</v>
      </c>
      <c r="K10" s="10">
        <f t="shared" si="1"/>
        <v>352.38</v>
      </c>
      <c r="L10" s="16" t="s">
        <v>33</v>
      </c>
    </row>
    <row r="11" ht="25.25" customHeight="1" spans="1:12">
      <c r="A11" s="9">
        <v>9</v>
      </c>
      <c r="B11" s="10" t="s">
        <v>13</v>
      </c>
      <c r="C11" s="11" t="s">
        <v>123</v>
      </c>
      <c r="D11" s="10" t="s">
        <v>130</v>
      </c>
      <c r="E11" s="10" t="s">
        <v>125</v>
      </c>
      <c r="F11" s="10">
        <v>320</v>
      </c>
      <c r="G11" s="10">
        <f>2*60+17.44</f>
        <v>137.44</v>
      </c>
      <c r="H11" s="10">
        <v>260</v>
      </c>
      <c r="I11" s="10">
        <f>1*60+57.6</f>
        <v>117.6</v>
      </c>
      <c r="J11" s="10">
        <f t="shared" si="2"/>
        <v>580</v>
      </c>
      <c r="K11" s="10">
        <f t="shared" si="1"/>
        <v>255.04</v>
      </c>
      <c r="L11" s="16" t="s">
        <v>33</v>
      </c>
    </row>
    <row r="12" ht="25.25" customHeight="1" spans="1:12">
      <c r="A12" s="9">
        <v>10</v>
      </c>
      <c r="B12" s="10" t="s">
        <v>42</v>
      </c>
      <c r="C12" s="11" t="s">
        <v>131</v>
      </c>
      <c r="D12" s="10" t="s">
        <v>132</v>
      </c>
      <c r="E12" s="10" t="s">
        <v>133</v>
      </c>
      <c r="F12" s="10">
        <v>270</v>
      </c>
      <c r="G12" s="10">
        <f>2*60+42.38</f>
        <v>162.38</v>
      </c>
      <c r="H12" s="10">
        <v>280</v>
      </c>
      <c r="I12" s="10">
        <f>2*60+11.1</f>
        <v>131.1</v>
      </c>
      <c r="J12" s="10">
        <f t="shared" si="2"/>
        <v>550</v>
      </c>
      <c r="K12" s="10">
        <f t="shared" si="1"/>
        <v>293.48</v>
      </c>
      <c r="L12" s="16" t="s">
        <v>33</v>
      </c>
    </row>
    <row r="13" ht="25.25" customHeight="1" spans="1:12">
      <c r="A13" s="9">
        <v>11</v>
      </c>
      <c r="B13" s="10" t="s">
        <v>74</v>
      </c>
      <c r="C13" s="11" t="s">
        <v>78</v>
      </c>
      <c r="D13" s="10" t="s">
        <v>134</v>
      </c>
      <c r="E13" s="10" t="s">
        <v>135</v>
      </c>
      <c r="F13" s="10">
        <v>200</v>
      </c>
      <c r="G13" s="10">
        <f>2*60+33.63</f>
        <v>153.63</v>
      </c>
      <c r="H13" s="10">
        <v>340</v>
      </c>
      <c r="I13" s="10">
        <f>2*60+4.59</f>
        <v>124.59</v>
      </c>
      <c r="J13" s="10">
        <f t="shared" si="2"/>
        <v>540</v>
      </c>
      <c r="K13" s="10">
        <f t="shared" si="1"/>
        <v>278.22</v>
      </c>
      <c r="L13" s="16" t="s">
        <v>33</v>
      </c>
    </row>
    <row r="14" ht="25.25" customHeight="1" spans="1:12">
      <c r="A14" s="9">
        <v>12</v>
      </c>
      <c r="B14" s="10" t="s">
        <v>29</v>
      </c>
      <c r="C14" s="11" t="s">
        <v>136</v>
      </c>
      <c r="D14" s="10" t="s">
        <v>137</v>
      </c>
      <c r="E14" s="10" t="s">
        <v>138</v>
      </c>
      <c r="F14" s="18">
        <v>180</v>
      </c>
      <c r="G14" s="18">
        <f>2*60+16.5</f>
        <v>136.5</v>
      </c>
      <c r="H14" s="18">
        <v>320</v>
      </c>
      <c r="I14" s="18">
        <f>2*60+47.03</f>
        <v>167.03</v>
      </c>
      <c r="J14" s="10">
        <f t="shared" si="2"/>
        <v>500</v>
      </c>
      <c r="K14" s="10">
        <f t="shared" si="1"/>
        <v>303.53</v>
      </c>
      <c r="L14" s="16" t="s">
        <v>33</v>
      </c>
    </row>
    <row r="15" ht="25.25" customHeight="1" spans="1:12">
      <c r="A15" s="9">
        <v>13</v>
      </c>
      <c r="B15" s="10" t="s">
        <v>74</v>
      </c>
      <c r="C15" s="11" t="s">
        <v>75</v>
      </c>
      <c r="D15" s="10" t="s">
        <v>139</v>
      </c>
      <c r="E15" s="10" t="s">
        <v>140</v>
      </c>
      <c r="F15" s="10">
        <v>120</v>
      </c>
      <c r="G15" s="10">
        <f>2*60+38.34</f>
        <v>158.34</v>
      </c>
      <c r="H15" s="10">
        <v>250</v>
      </c>
      <c r="I15" s="10">
        <f>2*60+36.5</f>
        <v>156.5</v>
      </c>
      <c r="J15" s="10">
        <f t="shared" si="2"/>
        <v>370</v>
      </c>
      <c r="K15" s="10">
        <f t="shared" si="1"/>
        <v>314.84</v>
      </c>
      <c r="L15" s="16" t="s">
        <v>33</v>
      </c>
    </row>
    <row r="16" ht="25.25" customHeight="1" spans="1:12">
      <c r="A16" s="9">
        <v>14</v>
      </c>
      <c r="B16" s="10" t="s">
        <v>29</v>
      </c>
      <c r="C16" s="11" t="s">
        <v>30</v>
      </c>
      <c r="D16" s="10" t="s">
        <v>141</v>
      </c>
      <c r="E16" s="10" t="s">
        <v>142</v>
      </c>
      <c r="F16" s="10">
        <v>280</v>
      </c>
      <c r="G16" s="10">
        <f>3*60</f>
        <v>180</v>
      </c>
      <c r="H16" s="10">
        <v>70</v>
      </c>
      <c r="I16" s="10">
        <f>2*60+50.72</f>
        <v>170.72</v>
      </c>
      <c r="J16" s="10">
        <f t="shared" si="2"/>
        <v>350</v>
      </c>
      <c r="K16" s="10">
        <f t="shared" si="1"/>
        <v>350.72</v>
      </c>
      <c r="L16" s="16" t="s">
        <v>33</v>
      </c>
    </row>
    <row r="17" ht="25.25" customHeight="1" spans="1:12">
      <c r="A17" s="9">
        <v>15</v>
      </c>
      <c r="B17" s="10" t="s">
        <v>119</v>
      </c>
      <c r="C17" s="11" t="s">
        <v>143</v>
      </c>
      <c r="D17" s="10" t="s">
        <v>144</v>
      </c>
      <c r="E17" s="10" t="s">
        <v>145</v>
      </c>
      <c r="F17" s="10">
        <v>170</v>
      </c>
      <c r="G17" s="10">
        <f>3*60</f>
        <v>180</v>
      </c>
      <c r="H17" s="10">
        <v>160</v>
      </c>
      <c r="I17" s="10">
        <f>2*60+51.16</f>
        <v>171.16</v>
      </c>
      <c r="J17" s="10">
        <f t="shared" si="2"/>
        <v>330</v>
      </c>
      <c r="K17" s="10">
        <f t="shared" si="1"/>
        <v>351.16</v>
      </c>
      <c r="L17" s="16" t="s">
        <v>67</v>
      </c>
    </row>
    <row r="18" s="2" customFormat="1" ht="25.25" customHeight="1" spans="1:12">
      <c r="A18" s="9">
        <v>16</v>
      </c>
      <c r="B18" s="10" t="s">
        <v>89</v>
      </c>
      <c r="C18" s="11" t="s">
        <v>146</v>
      </c>
      <c r="D18" s="10" t="s">
        <v>147</v>
      </c>
      <c r="E18" s="10" t="s">
        <v>148</v>
      </c>
      <c r="F18" s="10">
        <v>140</v>
      </c>
      <c r="G18" s="10">
        <f>2*60+2.25</f>
        <v>122.25</v>
      </c>
      <c r="H18" s="10">
        <v>180</v>
      </c>
      <c r="I18" s="10">
        <f>1*60+33.41</f>
        <v>93.41</v>
      </c>
      <c r="J18" s="10">
        <f t="shared" si="2"/>
        <v>320</v>
      </c>
      <c r="K18" s="10">
        <f t="shared" si="1"/>
        <v>215.66</v>
      </c>
      <c r="L18" s="16" t="s">
        <v>149</v>
      </c>
    </row>
    <row r="19" s="2" customFormat="1" ht="25.25" customHeight="1" spans="1:12">
      <c r="A19" s="9">
        <v>17</v>
      </c>
      <c r="B19" s="10" t="s">
        <v>89</v>
      </c>
      <c r="C19" s="11" t="s">
        <v>150</v>
      </c>
      <c r="D19" s="10" t="s">
        <v>151</v>
      </c>
      <c r="E19" s="10" t="s">
        <v>152</v>
      </c>
      <c r="F19" s="10">
        <v>140</v>
      </c>
      <c r="G19" s="10">
        <f>2*60+43.34</f>
        <v>163.34</v>
      </c>
      <c r="H19" s="10">
        <v>140</v>
      </c>
      <c r="I19" s="10">
        <f>2*60+41.57</f>
        <v>161.57</v>
      </c>
      <c r="J19" s="10">
        <f t="shared" si="2"/>
        <v>280</v>
      </c>
      <c r="K19" s="10">
        <f t="shared" si="1"/>
        <v>324.91</v>
      </c>
      <c r="L19" s="16" t="s">
        <v>67</v>
      </c>
    </row>
    <row r="20" s="2" customFormat="1" ht="25.25" customHeight="1" spans="1:12">
      <c r="A20" s="9">
        <v>18</v>
      </c>
      <c r="B20" s="10" t="s">
        <v>126</v>
      </c>
      <c r="C20" s="11" t="s">
        <v>153</v>
      </c>
      <c r="D20" s="10" t="s">
        <v>154</v>
      </c>
      <c r="E20" s="10" t="s">
        <v>155</v>
      </c>
      <c r="F20" s="10">
        <v>120</v>
      </c>
      <c r="G20" s="10">
        <f>2*60+49.47</f>
        <v>169.47</v>
      </c>
      <c r="H20" s="10">
        <v>120</v>
      </c>
      <c r="I20" s="10">
        <f>3*60</f>
        <v>180</v>
      </c>
      <c r="J20" s="10">
        <f t="shared" si="2"/>
        <v>240</v>
      </c>
      <c r="K20" s="10">
        <f t="shared" si="1"/>
        <v>349.47</v>
      </c>
      <c r="L20" s="16" t="s">
        <v>67</v>
      </c>
    </row>
    <row r="21" s="2" customFormat="1" ht="25.25" customHeight="1" spans="1:12">
      <c r="A21" s="9">
        <v>19</v>
      </c>
      <c r="B21" s="10" t="s">
        <v>63</v>
      </c>
      <c r="C21" s="11" t="s">
        <v>156</v>
      </c>
      <c r="D21" s="10" t="s">
        <v>157</v>
      </c>
      <c r="E21" s="10" t="s">
        <v>158</v>
      </c>
      <c r="F21" s="10">
        <v>110</v>
      </c>
      <c r="G21" s="10">
        <f>2*60+9.69</f>
        <v>129.69</v>
      </c>
      <c r="H21" s="10">
        <v>110</v>
      </c>
      <c r="I21" s="10">
        <f>1*60+44.87</f>
        <v>104.87</v>
      </c>
      <c r="J21" s="10">
        <f t="shared" si="2"/>
        <v>220</v>
      </c>
      <c r="K21" s="10">
        <f t="shared" si="1"/>
        <v>234.56</v>
      </c>
      <c r="L21" s="16" t="s">
        <v>67</v>
      </c>
    </row>
    <row r="22" s="2" customFormat="1" ht="25.25" customHeight="1" spans="1:12">
      <c r="A22" s="9">
        <v>20</v>
      </c>
      <c r="B22" s="10" t="s">
        <v>42</v>
      </c>
      <c r="C22" s="11" t="s">
        <v>159</v>
      </c>
      <c r="D22" s="10" t="s">
        <v>160</v>
      </c>
      <c r="E22" s="10" t="s">
        <v>161</v>
      </c>
      <c r="F22" s="10">
        <v>160</v>
      </c>
      <c r="G22" s="10">
        <f>2*60+52.54</f>
        <v>172.54</v>
      </c>
      <c r="H22" s="10">
        <v>30</v>
      </c>
      <c r="I22" s="10">
        <f>2*60+14.35</f>
        <v>134.35</v>
      </c>
      <c r="J22" s="10">
        <f t="shared" si="2"/>
        <v>190</v>
      </c>
      <c r="K22" s="10">
        <f t="shared" si="1"/>
        <v>306.89</v>
      </c>
      <c r="L22" s="16" t="s">
        <v>67</v>
      </c>
    </row>
    <row r="23" s="2" customFormat="1" ht="25.25" customHeight="1" spans="1:12">
      <c r="A23" s="9">
        <v>21</v>
      </c>
      <c r="B23" s="10" t="s">
        <v>38</v>
      </c>
      <c r="C23" s="11" t="s">
        <v>162</v>
      </c>
      <c r="D23" s="10" t="s">
        <v>163</v>
      </c>
      <c r="E23" s="10" t="s">
        <v>164</v>
      </c>
      <c r="F23" s="10">
        <v>90</v>
      </c>
      <c r="G23" s="10">
        <f>1*60+22.09</f>
        <v>82.09</v>
      </c>
      <c r="H23" s="10">
        <v>90</v>
      </c>
      <c r="I23" s="10">
        <f>2*60+36.06</f>
        <v>156.06</v>
      </c>
      <c r="J23" s="10">
        <f t="shared" si="2"/>
        <v>180</v>
      </c>
      <c r="K23" s="10">
        <f t="shared" si="1"/>
        <v>238.15</v>
      </c>
      <c r="L23" s="16" t="s">
        <v>67</v>
      </c>
    </row>
    <row r="24" s="2" customFormat="1" ht="25.25" customHeight="1" spans="1:12">
      <c r="A24" s="9">
        <v>22</v>
      </c>
      <c r="B24" s="10" t="s">
        <v>34</v>
      </c>
      <c r="C24" s="11" t="s">
        <v>165</v>
      </c>
      <c r="D24" s="10" t="s">
        <v>166</v>
      </c>
      <c r="E24" s="10" t="s">
        <v>167</v>
      </c>
      <c r="F24" s="10">
        <v>120</v>
      </c>
      <c r="G24" s="10">
        <f>2*60+5.91</f>
        <v>125.91</v>
      </c>
      <c r="H24" s="10">
        <v>40</v>
      </c>
      <c r="I24" s="10">
        <f>2*60+35.72</f>
        <v>155.72</v>
      </c>
      <c r="J24" s="10">
        <f t="shared" si="2"/>
        <v>160</v>
      </c>
      <c r="K24" s="10">
        <f t="shared" si="1"/>
        <v>281.63</v>
      </c>
      <c r="L24" s="16" t="s">
        <v>67</v>
      </c>
    </row>
    <row r="25" s="2" customFormat="1" ht="25.25" customHeight="1" spans="1:12">
      <c r="A25" s="9">
        <v>23</v>
      </c>
      <c r="B25" s="10" t="s">
        <v>63</v>
      </c>
      <c r="C25" s="11" t="s">
        <v>168</v>
      </c>
      <c r="D25" s="10" t="s">
        <v>169</v>
      </c>
      <c r="E25" s="10" t="s">
        <v>170</v>
      </c>
      <c r="F25" s="10">
        <v>50</v>
      </c>
      <c r="G25" s="10">
        <f>3*60</f>
        <v>180</v>
      </c>
      <c r="H25" s="10">
        <v>70</v>
      </c>
      <c r="I25" s="10">
        <f>2*60+30.25</f>
        <v>150.25</v>
      </c>
      <c r="J25" s="10">
        <f t="shared" si="2"/>
        <v>120</v>
      </c>
      <c r="K25" s="10">
        <f t="shared" si="1"/>
        <v>330.25</v>
      </c>
      <c r="L25" s="16" t="s">
        <v>67</v>
      </c>
    </row>
    <row r="26" s="2" customFormat="1" ht="25.25" customHeight="1" spans="1:12">
      <c r="A26" s="9">
        <v>24</v>
      </c>
      <c r="B26" s="10" t="s">
        <v>56</v>
      </c>
      <c r="C26" s="11" t="s">
        <v>57</v>
      </c>
      <c r="D26" s="10" t="s">
        <v>171</v>
      </c>
      <c r="E26" s="10" t="s">
        <v>172</v>
      </c>
      <c r="F26" s="10">
        <v>40</v>
      </c>
      <c r="G26" s="10">
        <f>1*60+38.06</f>
        <v>98.06</v>
      </c>
      <c r="H26" s="10">
        <v>40</v>
      </c>
      <c r="I26" s="10">
        <f>1*60+9.82</f>
        <v>69.82</v>
      </c>
      <c r="J26" s="10">
        <f t="shared" si="2"/>
        <v>80</v>
      </c>
      <c r="K26" s="10">
        <f t="shared" si="1"/>
        <v>167.88</v>
      </c>
      <c r="L26" s="16" t="s">
        <v>67</v>
      </c>
    </row>
    <row r="27" s="2" customFormat="1" ht="25.25" customHeight="1" spans="1:12">
      <c r="A27" s="9">
        <v>25</v>
      </c>
      <c r="B27" s="10" t="s">
        <v>85</v>
      </c>
      <c r="C27" s="11" t="s">
        <v>173</v>
      </c>
      <c r="D27" s="10" t="s">
        <v>174</v>
      </c>
      <c r="E27" s="10" t="s">
        <v>175</v>
      </c>
      <c r="F27" s="10">
        <v>30</v>
      </c>
      <c r="G27" s="10">
        <f>1*60+59.75</f>
        <v>119.75</v>
      </c>
      <c r="H27" s="10">
        <v>20</v>
      </c>
      <c r="I27" s="10">
        <f>2*60+20.25</f>
        <v>140.25</v>
      </c>
      <c r="J27" s="10">
        <f t="shared" si="2"/>
        <v>50</v>
      </c>
      <c r="K27" s="10">
        <f t="shared" si="1"/>
        <v>260</v>
      </c>
      <c r="L27" s="16" t="s">
        <v>67</v>
      </c>
    </row>
    <row r="28" s="2" customFormat="1" ht="25.25" customHeight="1" spans="1:12">
      <c r="A28" s="9">
        <v>26</v>
      </c>
      <c r="B28" s="10" t="s">
        <v>38</v>
      </c>
      <c r="C28" s="11" t="s">
        <v>176</v>
      </c>
      <c r="D28" s="10" t="s">
        <v>177</v>
      </c>
      <c r="E28" s="10" t="s">
        <v>178</v>
      </c>
      <c r="F28" s="10">
        <v>20</v>
      </c>
      <c r="G28" s="10">
        <f>2*60+30</f>
        <v>150</v>
      </c>
      <c r="H28" s="10">
        <v>20</v>
      </c>
      <c r="I28" s="10">
        <f>3*60</f>
        <v>180</v>
      </c>
      <c r="J28" s="10">
        <f t="shared" si="2"/>
        <v>40</v>
      </c>
      <c r="K28" s="10">
        <f t="shared" si="1"/>
        <v>330</v>
      </c>
      <c r="L28" s="16" t="s">
        <v>67</v>
      </c>
    </row>
    <row r="29" s="2" customFormat="1" ht="25.25" customHeight="1" spans="1:12">
      <c r="A29" s="9">
        <v>27</v>
      </c>
      <c r="B29" s="10" t="s">
        <v>85</v>
      </c>
      <c r="C29" s="11" t="s">
        <v>179</v>
      </c>
      <c r="D29" s="10" t="s">
        <v>180</v>
      </c>
      <c r="E29" s="10" t="s">
        <v>181</v>
      </c>
      <c r="F29" s="10">
        <v>0</v>
      </c>
      <c r="G29" s="10">
        <f>48.06</f>
        <v>48.06</v>
      </c>
      <c r="H29" s="10">
        <v>20</v>
      </c>
      <c r="I29" s="10">
        <f>15.25</f>
        <v>15.25</v>
      </c>
      <c r="J29" s="10">
        <f t="shared" si="2"/>
        <v>20</v>
      </c>
      <c r="K29" s="10">
        <f t="shared" si="1"/>
        <v>63.31</v>
      </c>
      <c r="L29" s="16" t="s">
        <v>67</v>
      </c>
    </row>
  </sheetData>
  <sortState ref="A2:O30">
    <sortCondition ref="J3:J29" descending="1"/>
    <sortCondition ref="K3:K29"/>
  </sortState>
  <mergeCells count="1">
    <mergeCell ref="A1:K1"/>
  </mergeCells>
  <printOptions horizontalCentered="1"/>
  <pageMargins left="0.393700787401575" right="0.393700787401575" top="0.393700787401575" bottom="0.393700787401575" header="0" footer="0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zoomScale="87" zoomScaleNormal="87" workbookViewId="0">
      <pane ySplit="2" topLeftCell="A33" activePane="bottomLeft" state="frozen"/>
      <selection/>
      <selection pane="bottomLeft" activeCell="Q9" sqref="Q9"/>
    </sheetView>
  </sheetViews>
  <sheetFormatPr defaultColWidth="9.09523809523809" defaultRowHeight="12.75"/>
  <cols>
    <col min="1" max="1" width="9.02857142857143" style="3" customWidth="1"/>
    <col min="2" max="2" width="8.54285714285714" style="3" customWidth="1"/>
    <col min="3" max="3" width="36.0952380952381" style="4" customWidth="1"/>
    <col min="4" max="5" width="15.7238095238095" style="5" customWidth="1"/>
    <col min="6" max="8" width="9.09523809523809" style="3" customWidth="1"/>
    <col min="9" max="9" width="10.1714285714286" style="3" customWidth="1"/>
    <col min="10" max="11" width="9.09523809523809" style="3" customWidth="1"/>
    <col min="12" max="12" width="12.4857142857143" style="3" customWidth="1"/>
    <col min="13" max="218" width="9.09523809523809" style="3"/>
    <col min="219" max="219" width="17.8190476190476" style="3" customWidth="1"/>
    <col min="220" max="220" width="48" style="3" customWidth="1"/>
    <col min="221" max="221" width="15.7238095238095" style="3" customWidth="1"/>
    <col min="222" max="222" width="13.7238095238095" style="3" customWidth="1"/>
    <col min="223" max="474" width="9.09523809523809" style="3"/>
    <col min="475" max="475" width="17.8190476190476" style="3" customWidth="1"/>
    <col min="476" max="476" width="48" style="3" customWidth="1"/>
    <col min="477" max="477" width="15.7238095238095" style="3" customWidth="1"/>
    <col min="478" max="478" width="13.7238095238095" style="3" customWidth="1"/>
    <col min="479" max="730" width="9.09523809523809" style="3"/>
    <col min="731" max="731" width="17.8190476190476" style="3" customWidth="1"/>
    <col min="732" max="732" width="48" style="3" customWidth="1"/>
    <col min="733" max="733" width="15.7238095238095" style="3" customWidth="1"/>
    <col min="734" max="734" width="13.7238095238095" style="3" customWidth="1"/>
    <col min="735" max="986" width="9.09523809523809" style="3"/>
    <col min="987" max="987" width="17.8190476190476" style="3" customWidth="1"/>
    <col min="988" max="988" width="48" style="3" customWidth="1"/>
    <col min="989" max="989" width="15.7238095238095" style="3" customWidth="1"/>
    <col min="990" max="990" width="13.7238095238095" style="3" customWidth="1"/>
    <col min="991" max="1242" width="9.09523809523809" style="3"/>
    <col min="1243" max="1243" width="17.8190476190476" style="3" customWidth="1"/>
    <col min="1244" max="1244" width="48" style="3" customWidth="1"/>
    <col min="1245" max="1245" width="15.7238095238095" style="3" customWidth="1"/>
    <col min="1246" max="1246" width="13.7238095238095" style="3" customWidth="1"/>
    <col min="1247" max="1498" width="9.09523809523809" style="3"/>
    <col min="1499" max="1499" width="17.8190476190476" style="3" customWidth="1"/>
    <col min="1500" max="1500" width="48" style="3" customWidth="1"/>
    <col min="1501" max="1501" width="15.7238095238095" style="3" customWidth="1"/>
    <col min="1502" max="1502" width="13.7238095238095" style="3" customWidth="1"/>
    <col min="1503" max="1754" width="9.09523809523809" style="3"/>
    <col min="1755" max="1755" width="17.8190476190476" style="3" customWidth="1"/>
    <col min="1756" max="1756" width="48" style="3" customWidth="1"/>
    <col min="1757" max="1757" width="15.7238095238095" style="3" customWidth="1"/>
    <col min="1758" max="1758" width="13.7238095238095" style="3" customWidth="1"/>
    <col min="1759" max="2010" width="9.09523809523809" style="3"/>
    <col min="2011" max="2011" width="17.8190476190476" style="3" customWidth="1"/>
    <col min="2012" max="2012" width="48" style="3" customWidth="1"/>
    <col min="2013" max="2013" width="15.7238095238095" style="3" customWidth="1"/>
    <col min="2014" max="2014" width="13.7238095238095" style="3" customWidth="1"/>
    <col min="2015" max="2266" width="9.09523809523809" style="3"/>
    <col min="2267" max="2267" width="17.8190476190476" style="3" customWidth="1"/>
    <col min="2268" max="2268" width="48" style="3" customWidth="1"/>
    <col min="2269" max="2269" width="15.7238095238095" style="3" customWidth="1"/>
    <col min="2270" max="2270" width="13.7238095238095" style="3" customWidth="1"/>
    <col min="2271" max="2522" width="9.09523809523809" style="3"/>
    <col min="2523" max="2523" width="17.8190476190476" style="3" customWidth="1"/>
    <col min="2524" max="2524" width="48" style="3" customWidth="1"/>
    <col min="2525" max="2525" width="15.7238095238095" style="3" customWidth="1"/>
    <col min="2526" max="2526" width="13.7238095238095" style="3" customWidth="1"/>
    <col min="2527" max="2778" width="9.09523809523809" style="3"/>
    <col min="2779" max="2779" width="17.8190476190476" style="3" customWidth="1"/>
    <col min="2780" max="2780" width="48" style="3" customWidth="1"/>
    <col min="2781" max="2781" width="15.7238095238095" style="3" customWidth="1"/>
    <col min="2782" max="2782" width="13.7238095238095" style="3" customWidth="1"/>
    <col min="2783" max="3034" width="9.09523809523809" style="3"/>
    <col min="3035" max="3035" width="17.8190476190476" style="3" customWidth="1"/>
    <col min="3036" max="3036" width="48" style="3" customWidth="1"/>
    <col min="3037" max="3037" width="15.7238095238095" style="3" customWidth="1"/>
    <col min="3038" max="3038" width="13.7238095238095" style="3" customWidth="1"/>
    <col min="3039" max="3290" width="9.09523809523809" style="3"/>
    <col min="3291" max="3291" width="17.8190476190476" style="3" customWidth="1"/>
    <col min="3292" max="3292" width="48" style="3" customWidth="1"/>
    <col min="3293" max="3293" width="15.7238095238095" style="3" customWidth="1"/>
    <col min="3294" max="3294" width="13.7238095238095" style="3" customWidth="1"/>
    <col min="3295" max="3546" width="9.09523809523809" style="3"/>
    <col min="3547" max="3547" width="17.8190476190476" style="3" customWidth="1"/>
    <col min="3548" max="3548" width="48" style="3" customWidth="1"/>
    <col min="3549" max="3549" width="15.7238095238095" style="3" customWidth="1"/>
    <col min="3550" max="3550" width="13.7238095238095" style="3" customWidth="1"/>
    <col min="3551" max="3802" width="9.09523809523809" style="3"/>
    <col min="3803" max="3803" width="17.8190476190476" style="3" customWidth="1"/>
    <col min="3804" max="3804" width="48" style="3" customWidth="1"/>
    <col min="3805" max="3805" width="15.7238095238095" style="3" customWidth="1"/>
    <col min="3806" max="3806" width="13.7238095238095" style="3" customWidth="1"/>
    <col min="3807" max="4058" width="9.09523809523809" style="3"/>
    <col min="4059" max="4059" width="17.8190476190476" style="3" customWidth="1"/>
    <col min="4060" max="4060" width="48" style="3" customWidth="1"/>
    <col min="4061" max="4061" width="15.7238095238095" style="3" customWidth="1"/>
    <col min="4062" max="4062" width="13.7238095238095" style="3" customWidth="1"/>
    <col min="4063" max="4314" width="9.09523809523809" style="3"/>
    <col min="4315" max="4315" width="17.8190476190476" style="3" customWidth="1"/>
    <col min="4316" max="4316" width="48" style="3" customWidth="1"/>
    <col min="4317" max="4317" width="15.7238095238095" style="3" customWidth="1"/>
    <col min="4318" max="4318" width="13.7238095238095" style="3" customWidth="1"/>
    <col min="4319" max="4570" width="9.09523809523809" style="3"/>
    <col min="4571" max="4571" width="17.8190476190476" style="3" customWidth="1"/>
    <col min="4572" max="4572" width="48" style="3" customWidth="1"/>
    <col min="4573" max="4573" width="15.7238095238095" style="3" customWidth="1"/>
    <col min="4574" max="4574" width="13.7238095238095" style="3" customWidth="1"/>
    <col min="4575" max="4826" width="9.09523809523809" style="3"/>
    <col min="4827" max="4827" width="17.8190476190476" style="3" customWidth="1"/>
    <col min="4828" max="4828" width="48" style="3" customWidth="1"/>
    <col min="4829" max="4829" width="15.7238095238095" style="3" customWidth="1"/>
    <col min="4830" max="4830" width="13.7238095238095" style="3" customWidth="1"/>
    <col min="4831" max="5082" width="9.09523809523809" style="3"/>
    <col min="5083" max="5083" width="17.8190476190476" style="3" customWidth="1"/>
    <col min="5084" max="5084" width="48" style="3" customWidth="1"/>
    <col min="5085" max="5085" width="15.7238095238095" style="3" customWidth="1"/>
    <col min="5086" max="5086" width="13.7238095238095" style="3" customWidth="1"/>
    <col min="5087" max="5338" width="9.09523809523809" style="3"/>
    <col min="5339" max="5339" width="17.8190476190476" style="3" customWidth="1"/>
    <col min="5340" max="5340" width="48" style="3" customWidth="1"/>
    <col min="5341" max="5341" width="15.7238095238095" style="3" customWidth="1"/>
    <col min="5342" max="5342" width="13.7238095238095" style="3" customWidth="1"/>
    <col min="5343" max="5594" width="9.09523809523809" style="3"/>
    <col min="5595" max="5595" width="17.8190476190476" style="3" customWidth="1"/>
    <col min="5596" max="5596" width="48" style="3" customWidth="1"/>
    <col min="5597" max="5597" width="15.7238095238095" style="3" customWidth="1"/>
    <col min="5598" max="5598" width="13.7238095238095" style="3" customWidth="1"/>
    <col min="5599" max="5850" width="9.09523809523809" style="3"/>
    <col min="5851" max="5851" width="17.8190476190476" style="3" customWidth="1"/>
    <col min="5852" max="5852" width="48" style="3" customWidth="1"/>
    <col min="5853" max="5853" width="15.7238095238095" style="3" customWidth="1"/>
    <col min="5854" max="5854" width="13.7238095238095" style="3" customWidth="1"/>
    <col min="5855" max="6106" width="9.09523809523809" style="3"/>
    <col min="6107" max="6107" width="17.8190476190476" style="3" customWidth="1"/>
    <col min="6108" max="6108" width="48" style="3" customWidth="1"/>
    <col min="6109" max="6109" width="15.7238095238095" style="3" customWidth="1"/>
    <col min="6110" max="6110" width="13.7238095238095" style="3" customWidth="1"/>
    <col min="6111" max="6362" width="9.09523809523809" style="3"/>
    <col min="6363" max="6363" width="17.8190476190476" style="3" customWidth="1"/>
    <col min="6364" max="6364" width="48" style="3" customWidth="1"/>
    <col min="6365" max="6365" width="15.7238095238095" style="3" customWidth="1"/>
    <col min="6366" max="6366" width="13.7238095238095" style="3" customWidth="1"/>
    <col min="6367" max="6618" width="9.09523809523809" style="3"/>
    <col min="6619" max="6619" width="17.8190476190476" style="3" customWidth="1"/>
    <col min="6620" max="6620" width="48" style="3" customWidth="1"/>
    <col min="6621" max="6621" width="15.7238095238095" style="3" customWidth="1"/>
    <col min="6622" max="6622" width="13.7238095238095" style="3" customWidth="1"/>
    <col min="6623" max="6874" width="9.09523809523809" style="3"/>
    <col min="6875" max="6875" width="17.8190476190476" style="3" customWidth="1"/>
    <col min="6876" max="6876" width="48" style="3" customWidth="1"/>
    <col min="6877" max="6877" width="15.7238095238095" style="3" customWidth="1"/>
    <col min="6878" max="6878" width="13.7238095238095" style="3" customWidth="1"/>
    <col min="6879" max="7130" width="9.09523809523809" style="3"/>
    <col min="7131" max="7131" width="17.8190476190476" style="3" customWidth="1"/>
    <col min="7132" max="7132" width="48" style="3" customWidth="1"/>
    <col min="7133" max="7133" width="15.7238095238095" style="3" customWidth="1"/>
    <col min="7134" max="7134" width="13.7238095238095" style="3" customWidth="1"/>
    <col min="7135" max="7386" width="9.09523809523809" style="3"/>
    <col min="7387" max="7387" width="17.8190476190476" style="3" customWidth="1"/>
    <col min="7388" max="7388" width="48" style="3" customWidth="1"/>
    <col min="7389" max="7389" width="15.7238095238095" style="3" customWidth="1"/>
    <col min="7390" max="7390" width="13.7238095238095" style="3" customWidth="1"/>
    <col min="7391" max="7642" width="9.09523809523809" style="3"/>
    <col min="7643" max="7643" width="17.8190476190476" style="3" customWidth="1"/>
    <col min="7644" max="7644" width="48" style="3" customWidth="1"/>
    <col min="7645" max="7645" width="15.7238095238095" style="3" customWidth="1"/>
    <col min="7646" max="7646" width="13.7238095238095" style="3" customWidth="1"/>
    <col min="7647" max="7898" width="9.09523809523809" style="3"/>
    <col min="7899" max="7899" width="17.8190476190476" style="3" customWidth="1"/>
    <col min="7900" max="7900" width="48" style="3" customWidth="1"/>
    <col min="7901" max="7901" width="15.7238095238095" style="3" customWidth="1"/>
    <col min="7902" max="7902" width="13.7238095238095" style="3" customWidth="1"/>
    <col min="7903" max="8154" width="9.09523809523809" style="3"/>
    <col min="8155" max="8155" width="17.8190476190476" style="3" customWidth="1"/>
    <col min="8156" max="8156" width="48" style="3" customWidth="1"/>
    <col min="8157" max="8157" width="15.7238095238095" style="3" customWidth="1"/>
    <col min="8158" max="8158" width="13.7238095238095" style="3" customWidth="1"/>
    <col min="8159" max="8410" width="9.09523809523809" style="3"/>
    <col min="8411" max="8411" width="17.8190476190476" style="3" customWidth="1"/>
    <col min="8412" max="8412" width="48" style="3" customWidth="1"/>
    <col min="8413" max="8413" width="15.7238095238095" style="3" customWidth="1"/>
    <col min="8414" max="8414" width="13.7238095238095" style="3" customWidth="1"/>
    <col min="8415" max="8666" width="9.09523809523809" style="3"/>
    <col min="8667" max="8667" width="17.8190476190476" style="3" customWidth="1"/>
    <col min="8668" max="8668" width="48" style="3" customWidth="1"/>
    <col min="8669" max="8669" width="15.7238095238095" style="3" customWidth="1"/>
    <col min="8670" max="8670" width="13.7238095238095" style="3" customWidth="1"/>
    <col min="8671" max="8922" width="9.09523809523809" style="3"/>
    <col min="8923" max="8923" width="17.8190476190476" style="3" customWidth="1"/>
    <col min="8924" max="8924" width="48" style="3" customWidth="1"/>
    <col min="8925" max="8925" width="15.7238095238095" style="3" customWidth="1"/>
    <col min="8926" max="8926" width="13.7238095238095" style="3" customWidth="1"/>
    <col min="8927" max="9178" width="9.09523809523809" style="3"/>
    <col min="9179" max="9179" width="17.8190476190476" style="3" customWidth="1"/>
    <col min="9180" max="9180" width="48" style="3" customWidth="1"/>
    <col min="9181" max="9181" width="15.7238095238095" style="3" customWidth="1"/>
    <col min="9182" max="9182" width="13.7238095238095" style="3" customWidth="1"/>
    <col min="9183" max="9434" width="9.09523809523809" style="3"/>
    <col min="9435" max="9435" width="17.8190476190476" style="3" customWidth="1"/>
    <col min="9436" max="9436" width="48" style="3" customWidth="1"/>
    <col min="9437" max="9437" width="15.7238095238095" style="3" customWidth="1"/>
    <col min="9438" max="9438" width="13.7238095238095" style="3" customWidth="1"/>
    <col min="9439" max="9690" width="9.09523809523809" style="3"/>
    <col min="9691" max="9691" width="17.8190476190476" style="3" customWidth="1"/>
    <col min="9692" max="9692" width="48" style="3" customWidth="1"/>
    <col min="9693" max="9693" width="15.7238095238095" style="3" customWidth="1"/>
    <col min="9694" max="9694" width="13.7238095238095" style="3" customWidth="1"/>
    <col min="9695" max="9946" width="9.09523809523809" style="3"/>
    <col min="9947" max="9947" width="17.8190476190476" style="3" customWidth="1"/>
    <col min="9948" max="9948" width="48" style="3" customWidth="1"/>
    <col min="9949" max="9949" width="15.7238095238095" style="3" customWidth="1"/>
    <col min="9950" max="9950" width="13.7238095238095" style="3" customWidth="1"/>
    <col min="9951" max="10202" width="9.09523809523809" style="3"/>
    <col min="10203" max="10203" width="17.8190476190476" style="3" customWidth="1"/>
    <col min="10204" max="10204" width="48" style="3" customWidth="1"/>
    <col min="10205" max="10205" width="15.7238095238095" style="3" customWidth="1"/>
    <col min="10206" max="10206" width="13.7238095238095" style="3" customWidth="1"/>
    <col min="10207" max="10458" width="9.09523809523809" style="3"/>
    <col min="10459" max="10459" width="17.8190476190476" style="3" customWidth="1"/>
    <col min="10460" max="10460" width="48" style="3" customWidth="1"/>
    <col min="10461" max="10461" width="15.7238095238095" style="3" customWidth="1"/>
    <col min="10462" max="10462" width="13.7238095238095" style="3" customWidth="1"/>
    <col min="10463" max="10714" width="9.09523809523809" style="3"/>
    <col min="10715" max="10715" width="17.8190476190476" style="3" customWidth="1"/>
    <col min="10716" max="10716" width="48" style="3" customWidth="1"/>
    <col min="10717" max="10717" width="15.7238095238095" style="3" customWidth="1"/>
    <col min="10718" max="10718" width="13.7238095238095" style="3" customWidth="1"/>
    <col min="10719" max="10970" width="9.09523809523809" style="3"/>
    <col min="10971" max="10971" width="17.8190476190476" style="3" customWidth="1"/>
    <col min="10972" max="10972" width="48" style="3" customWidth="1"/>
    <col min="10973" max="10973" width="15.7238095238095" style="3" customWidth="1"/>
    <col min="10974" max="10974" width="13.7238095238095" style="3" customWidth="1"/>
    <col min="10975" max="11226" width="9.09523809523809" style="3"/>
    <col min="11227" max="11227" width="17.8190476190476" style="3" customWidth="1"/>
    <col min="11228" max="11228" width="48" style="3" customWidth="1"/>
    <col min="11229" max="11229" width="15.7238095238095" style="3" customWidth="1"/>
    <col min="11230" max="11230" width="13.7238095238095" style="3" customWidth="1"/>
    <col min="11231" max="11482" width="9.09523809523809" style="3"/>
    <col min="11483" max="11483" width="17.8190476190476" style="3" customWidth="1"/>
    <col min="11484" max="11484" width="48" style="3" customWidth="1"/>
    <col min="11485" max="11485" width="15.7238095238095" style="3" customWidth="1"/>
    <col min="11486" max="11486" width="13.7238095238095" style="3" customWidth="1"/>
    <col min="11487" max="11738" width="9.09523809523809" style="3"/>
    <col min="11739" max="11739" width="17.8190476190476" style="3" customWidth="1"/>
    <col min="11740" max="11740" width="48" style="3" customWidth="1"/>
    <col min="11741" max="11741" width="15.7238095238095" style="3" customWidth="1"/>
    <col min="11742" max="11742" width="13.7238095238095" style="3" customWidth="1"/>
    <col min="11743" max="11994" width="9.09523809523809" style="3"/>
    <col min="11995" max="11995" width="17.8190476190476" style="3" customWidth="1"/>
    <col min="11996" max="11996" width="48" style="3" customWidth="1"/>
    <col min="11997" max="11997" width="15.7238095238095" style="3" customWidth="1"/>
    <col min="11998" max="11998" width="13.7238095238095" style="3" customWidth="1"/>
    <col min="11999" max="12250" width="9.09523809523809" style="3"/>
    <col min="12251" max="12251" width="17.8190476190476" style="3" customWidth="1"/>
    <col min="12252" max="12252" width="48" style="3" customWidth="1"/>
    <col min="12253" max="12253" width="15.7238095238095" style="3" customWidth="1"/>
    <col min="12254" max="12254" width="13.7238095238095" style="3" customWidth="1"/>
    <col min="12255" max="12506" width="9.09523809523809" style="3"/>
    <col min="12507" max="12507" width="17.8190476190476" style="3" customWidth="1"/>
    <col min="12508" max="12508" width="48" style="3" customWidth="1"/>
    <col min="12509" max="12509" width="15.7238095238095" style="3" customWidth="1"/>
    <col min="12510" max="12510" width="13.7238095238095" style="3" customWidth="1"/>
    <col min="12511" max="12762" width="9.09523809523809" style="3"/>
    <col min="12763" max="12763" width="17.8190476190476" style="3" customWidth="1"/>
    <col min="12764" max="12764" width="48" style="3" customWidth="1"/>
    <col min="12765" max="12765" width="15.7238095238095" style="3" customWidth="1"/>
    <col min="12766" max="12766" width="13.7238095238095" style="3" customWidth="1"/>
    <col min="12767" max="13018" width="9.09523809523809" style="3"/>
    <col min="13019" max="13019" width="17.8190476190476" style="3" customWidth="1"/>
    <col min="13020" max="13020" width="48" style="3" customWidth="1"/>
    <col min="13021" max="13021" width="15.7238095238095" style="3" customWidth="1"/>
    <col min="13022" max="13022" width="13.7238095238095" style="3" customWidth="1"/>
    <col min="13023" max="13274" width="9.09523809523809" style="3"/>
    <col min="13275" max="13275" width="17.8190476190476" style="3" customWidth="1"/>
    <col min="13276" max="13276" width="48" style="3" customWidth="1"/>
    <col min="13277" max="13277" width="15.7238095238095" style="3" customWidth="1"/>
    <col min="13278" max="13278" width="13.7238095238095" style="3" customWidth="1"/>
    <col min="13279" max="13530" width="9.09523809523809" style="3"/>
    <col min="13531" max="13531" width="17.8190476190476" style="3" customWidth="1"/>
    <col min="13532" max="13532" width="48" style="3" customWidth="1"/>
    <col min="13533" max="13533" width="15.7238095238095" style="3" customWidth="1"/>
    <col min="13534" max="13534" width="13.7238095238095" style="3" customWidth="1"/>
    <col min="13535" max="13786" width="9.09523809523809" style="3"/>
    <col min="13787" max="13787" width="17.8190476190476" style="3" customWidth="1"/>
    <col min="13788" max="13788" width="48" style="3" customWidth="1"/>
    <col min="13789" max="13789" width="15.7238095238095" style="3" customWidth="1"/>
    <col min="13790" max="13790" width="13.7238095238095" style="3" customWidth="1"/>
    <col min="13791" max="14042" width="9.09523809523809" style="3"/>
    <col min="14043" max="14043" width="17.8190476190476" style="3" customWidth="1"/>
    <col min="14044" max="14044" width="48" style="3" customWidth="1"/>
    <col min="14045" max="14045" width="15.7238095238095" style="3" customWidth="1"/>
    <col min="14046" max="14046" width="13.7238095238095" style="3" customWidth="1"/>
    <col min="14047" max="14298" width="9.09523809523809" style="3"/>
    <col min="14299" max="14299" width="17.8190476190476" style="3" customWidth="1"/>
    <col min="14300" max="14300" width="48" style="3" customWidth="1"/>
    <col min="14301" max="14301" width="15.7238095238095" style="3" customWidth="1"/>
    <col min="14302" max="14302" width="13.7238095238095" style="3" customWidth="1"/>
    <col min="14303" max="14554" width="9.09523809523809" style="3"/>
    <col min="14555" max="14555" width="17.8190476190476" style="3" customWidth="1"/>
    <col min="14556" max="14556" width="48" style="3" customWidth="1"/>
    <col min="14557" max="14557" width="15.7238095238095" style="3" customWidth="1"/>
    <col min="14558" max="14558" width="13.7238095238095" style="3" customWidth="1"/>
    <col min="14559" max="14810" width="9.09523809523809" style="3"/>
    <col min="14811" max="14811" width="17.8190476190476" style="3" customWidth="1"/>
    <col min="14812" max="14812" width="48" style="3" customWidth="1"/>
    <col min="14813" max="14813" width="15.7238095238095" style="3" customWidth="1"/>
    <col min="14814" max="14814" width="13.7238095238095" style="3" customWidth="1"/>
    <col min="14815" max="15066" width="9.09523809523809" style="3"/>
    <col min="15067" max="15067" width="17.8190476190476" style="3" customWidth="1"/>
    <col min="15068" max="15068" width="48" style="3" customWidth="1"/>
    <col min="15069" max="15069" width="15.7238095238095" style="3" customWidth="1"/>
    <col min="15070" max="15070" width="13.7238095238095" style="3" customWidth="1"/>
    <col min="15071" max="15322" width="9.09523809523809" style="3"/>
    <col min="15323" max="15323" width="17.8190476190476" style="3" customWidth="1"/>
    <col min="15324" max="15324" width="48" style="3" customWidth="1"/>
    <col min="15325" max="15325" width="15.7238095238095" style="3" customWidth="1"/>
    <col min="15326" max="15326" width="13.7238095238095" style="3" customWidth="1"/>
    <col min="15327" max="15578" width="9.09523809523809" style="3"/>
    <col min="15579" max="15579" width="17.8190476190476" style="3" customWidth="1"/>
    <col min="15580" max="15580" width="48" style="3" customWidth="1"/>
    <col min="15581" max="15581" width="15.7238095238095" style="3" customWidth="1"/>
    <col min="15582" max="15582" width="13.7238095238095" style="3" customWidth="1"/>
    <col min="15583" max="15834" width="9.09523809523809" style="3"/>
    <col min="15835" max="15835" width="17.8190476190476" style="3" customWidth="1"/>
    <col min="15836" max="15836" width="48" style="3" customWidth="1"/>
    <col min="15837" max="15837" width="15.7238095238095" style="3" customWidth="1"/>
    <col min="15838" max="15838" width="13.7238095238095" style="3" customWidth="1"/>
    <col min="15839" max="16090" width="9.09523809523809" style="3"/>
    <col min="16091" max="16091" width="17.8190476190476" style="3" customWidth="1"/>
    <col min="16092" max="16092" width="48" style="3" customWidth="1"/>
    <col min="16093" max="16093" width="15.7238095238095" style="3" customWidth="1"/>
    <col min="16094" max="16094" width="13.7238095238095" style="3" customWidth="1"/>
    <col min="16095" max="16384" width="9.09523809523809" style="3"/>
  </cols>
  <sheetData>
    <row r="1" ht="26.15" customHeight="1" spans="1:11">
      <c r="A1" s="6" t="s">
        <v>182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5.25" customHeight="1" spans="1:12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</row>
    <row r="3" ht="25.25" customHeight="1" spans="1:12">
      <c r="A3" s="9">
        <v>1</v>
      </c>
      <c r="B3" s="10" t="s">
        <v>18</v>
      </c>
      <c r="C3" s="11" t="s">
        <v>183</v>
      </c>
      <c r="D3" s="10" t="s">
        <v>184</v>
      </c>
      <c r="E3" s="10" t="s">
        <v>185</v>
      </c>
      <c r="F3" s="10">
        <v>310</v>
      </c>
      <c r="G3" s="10">
        <f>2*60+35.62</f>
        <v>155.62</v>
      </c>
      <c r="H3" s="10">
        <v>390</v>
      </c>
      <c r="I3" s="10">
        <f>2*60+19.09</f>
        <v>139.09</v>
      </c>
      <c r="J3" s="10">
        <f t="shared" ref="J3:J51" si="0">F3+H3</f>
        <v>700</v>
      </c>
      <c r="K3" s="10">
        <f t="shared" ref="K3:K51" si="1">G3+I3</f>
        <v>294.71</v>
      </c>
      <c r="L3" s="16" t="s">
        <v>17</v>
      </c>
    </row>
    <row r="4" ht="31" customHeight="1" spans="1:12">
      <c r="A4" s="9">
        <v>2</v>
      </c>
      <c r="B4" s="10" t="s">
        <v>119</v>
      </c>
      <c r="C4" s="11" t="s">
        <v>186</v>
      </c>
      <c r="D4" s="10" t="s">
        <v>187</v>
      </c>
      <c r="E4" s="10" t="s">
        <v>188</v>
      </c>
      <c r="F4" s="10">
        <v>340</v>
      </c>
      <c r="G4" s="10">
        <f>2*60+36.09</f>
        <v>156.09</v>
      </c>
      <c r="H4" s="10">
        <v>340</v>
      </c>
      <c r="I4" s="10">
        <f>2*60+36.57</f>
        <v>156.57</v>
      </c>
      <c r="J4" s="10">
        <f t="shared" si="0"/>
        <v>680</v>
      </c>
      <c r="K4" s="10">
        <f t="shared" si="1"/>
        <v>312.66</v>
      </c>
      <c r="L4" s="16" t="s">
        <v>17</v>
      </c>
    </row>
    <row r="5" ht="25.25" customHeight="1" spans="1:12">
      <c r="A5" s="9">
        <v>3</v>
      </c>
      <c r="B5" s="10" t="s">
        <v>108</v>
      </c>
      <c r="C5" s="11" t="s">
        <v>189</v>
      </c>
      <c r="D5" s="10" t="s">
        <v>190</v>
      </c>
      <c r="E5" s="10" t="s">
        <v>191</v>
      </c>
      <c r="F5" s="10">
        <v>320</v>
      </c>
      <c r="G5" s="10">
        <f>2*60+45.87</f>
        <v>165.87</v>
      </c>
      <c r="H5" s="10">
        <v>330</v>
      </c>
      <c r="I5" s="10">
        <f>2*60+6.31</f>
        <v>126.31</v>
      </c>
      <c r="J5" s="10">
        <f t="shared" si="0"/>
        <v>650</v>
      </c>
      <c r="K5" s="10">
        <f t="shared" si="1"/>
        <v>292.18</v>
      </c>
      <c r="L5" s="16" t="s">
        <v>17</v>
      </c>
    </row>
    <row r="6" ht="32" customHeight="1" spans="1:12">
      <c r="A6" s="9">
        <v>4</v>
      </c>
      <c r="B6" s="10" t="s">
        <v>119</v>
      </c>
      <c r="C6" s="11" t="s">
        <v>192</v>
      </c>
      <c r="D6" s="10" t="s">
        <v>193</v>
      </c>
      <c r="E6" s="10" t="s">
        <v>188</v>
      </c>
      <c r="F6" s="10">
        <v>280</v>
      </c>
      <c r="G6" s="10">
        <f>2*60+36</f>
        <v>156</v>
      </c>
      <c r="H6" s="10">
        <v>360</v>
      </c>
      <c r="I6" s="10">
        <f>2*60+25.57</f>
        <v>145.57</v>
      </c>
      <c r="J6" s="10">
        <f t="shared" si="0"/>
        <v>640</v>
      </c>
      <c r="K6" s="10">
        <f t="shared" si="1"/>
        <v>301.57</v>
      </c>
      <c r="L6" s="16" t="s">
        <v>17</v>
      </c>
    </row>
    <row r="7" ht="25.25" customHeight="1" spans="1:12">
      <c r="A7" s="9">
        <v>5</v>
      </c>
      <c r="B7" s="10" t="s">
        <v>29</v>
      </c>
      <c r="C7" s="11" t="s">
        <v>194</v>
      </c>
      <c r="D7" s="10" t="s">
        <v>195</v>
      </c>
      <c r="E7" s="10" t="s">
        <v>196</v>
      </c>
      <c r="F7" s="10">
        <v>400</v>
      </c>
      <c r="G7" s="10">
        <f>2*60+20.32</f>
        <v>140.32</v>
      </c>
      <c r="H7" s="10">
        <v>200</v>
      </c>
      <c r="I7" s="10">
        <f>3*60</f>
        <v>180</v>
      </c>
      <c r="J7" s="10">
        <f t="shared" si="0"/>
        <v>600</v>
      </c>
      <c r="K7" s="10">
        <f t="shared" si="1"/>
        <v>320.32</v>
      </c>
      <c r="L7" s="16" t="s">
        <v>17</v>
      </c>
    </row>
    <row r="8" ht="32" customHeight="1" spans="1:12">
      <c r="A8" s="9">
        <v>6</v>
      </c>
      <c r="B8" s="10" t="s">
        <v>81</v>
      </c>
      <c r="C8" s="11" t="s">
        <v>197</v>
      </c>
      <c r="D8" s="10" t="s">
        <v>198</v>
      </c>
      <c r="E8" s="10" t="s">
        <v>199</v>
      </c>
      <c r="F8" s="10">
        <v>320</v>
      </c>
      <c r="G8" s="10">
        <f>2*60+30.59</f>
        <v>150.59</v>
      </c>
      <c r="H8" s="10">
        <v>260</v>
      </c>
      <c r="I8" s="10">
        <f>2*60+3.59</f>
        <v>123.59</v>
      </c>
      <c r="J8" s="10">
        <f t="shared" si="0"/>
        <v>580</v>
      </c>
      <c r="K8" s="10">
        <f t="shared" si="1"/>
        <v>274.18</v>
      </c>
      <c r="L8" s="16" t="s">
        <v>17</v>
      </c>
    </row>
    <row r="9" ht="25.25" customHeight="1" spans="1:12">
      <c r="A9" s="9">
        <v>7</v>
      </c>
      <c r="B9" s="10" t="s">
        <v>13</v>
      </c>
      <c r="C9" s="11" t="s">
        <v>200</v>
      </c>
      <c r="D9" s="10" t="s">
        <v>201</v>
      </c>
      <c r="E9" s="10" t="s">
        <v>202</v>
      </c>
      <c r="F9" s="10">
        <v>270</v>
      </c>
      <c r="G9" s="10">
        <f>2*60+36.7</f>
        <v>156.7</v>
      </c>
      <c r="H9" s="10">
        <v>270</v>
      </c>
      <c r="I9" s="10">
        <f>2*60+4.91</f>
        <v>124.91</v>
      </c>
      <c r="J9" s="10">
        <f t="shared" si="0"/>
        <v>540</v>
      </c>
      <c r="K9" s="10">
        <f t="shared" si="1"/>
        <v>281.61</v>
      </c>
      <c r="L9" s="16" t="s">
        <v>17</v>
      </c>
    </row>
    <row r="10" ht="25.25" customHeight="1" spans="1:12">
      <c r="A10" s="9">
        <v>8</v>
      </c>
      <c r="B10" s="10" t="s">
        <v>119</v>
      </c>
      <c r="C10" s="11" t="s">
        <v>203</v>
      </c>
      <c r="D10" s="10" t="s">
        <v>204</v>
      </c>
      <c r="E10" s="10" t="s">
        <v>188</v>
      </c>
      <c r="F10" s="10">
        <v>270</v>
      </c>
      <c r="G10" s="10">
        <f>2*60+57.56</f>
        <v>177.56</v>
      </c>
      <c r="H10" s="10">
        <v>270</v>
      </c>
      <c r="I10" s="10">
        <f>2*60+37.1</f>
        <v>157.1</v>
      </c>
      <c r="J10" s="10">
        <f t="shared" si="0"/>
        <v>540</v>
      </c>
      <c r="K10" s="10">
        <f t="shared" si="1"/>
        <v>334.66</v>
      </c>
      <c r="L10" s="16" t="s">
        <v>17</v>
      </c>
    </row>
    <row r="11" ht="25.25" customHeight="1" spans="1:12">
      <c r="A11" s="9">
        <v>9</v>
      </c>
      <c r="B11" s="10" t="s">
        <v>13</v>
      </c>
      <c r="C11" s="11" t="s">
        <v>200</v>
      </c>
      <c r="D11" s="10" t="s">
        <v>205</v>
      </c>
      <c r="E11" s="10" t="s">
        <v>202</v>
      </c>
      <c r="F11" s="10">
        <v>220</v>
      </c>
      <c r="G11" s="10">
        <f>3*60</f>
        <v>180</v>
      </c>
      <c r="H11" s="10">
        <v>280</v>
      </c>
      <c r="I11" s="10">
        <f>2*60+20.29</f>
        <v>140.29</v>
      </c>
      <c r="J11" s="10">
        <f t="shared" si="0"/>
        <v>500</v>
      </c>
      <c r="K11" s="10">
        <f t="shared" si="1"/>
        <v>320.29</v>
      </c>
      <c r="L11" s="16" t="s">
        <v>33</v>
      </c>
    </row>
    <row r="12" ht="25.25" customHeight="1" spans="1:12">
      <c r="A12" s="9">
        <v>10</v>
      </c>
      <c r="B12" s="10" t="s">
        <v>108</v>
      </c>
      <c r="C12" s="11" t="s">
        <v>189</v>
      </c>
      <c r="D12" s="10" t="s">
        <v>206</v>
      </c>
      <c r="E12" s="10" t="s">
        <v>191</v>
      </c>
      <c r="F12" s="10">
        <v>240</v>
      </c>
      <c r="G12" s="10">
        <f>2*60+59.28</f>
        <v>179.28</v>
      </c>
      <c r="H12" s="10">
        <v>210</v>
      </c>
      <c r="I12" s="10">
        <f>3*60</f>
        <v>180</v>
      </c>
      <c r="J12" s="10">
        <f t="shared" si="0"/>
        <v>450</v>
      </c>
      <c r="K12" s="10">
        <f t="shared" si="1"/>
        <v>359.28</v>
      </c>
      <c r="L12" s="16" t="s">
        <v>33</v>
      </c>
    </row>
    <row r="13" ht="25.25" customHeight="1" spans="1:12">
      <c r="A13" s="9">
        <v>11</v>
      </c>
      <c r="B13" s="10" t="s">
        <v>13</v>
      </c>
      <c r="C13" s="11" t="s">
        <v>207</v>
      </c>
      <c r="D13" s="10" t="s">
        <v>208</v>
      </c>
      <c r="E13" s="10" t="s">
        <v>209</v>
      </c>
      <c r="F13" s="10">
        <v>160</v>
      </c>
      <c r="G13" s="10">
        <f>1*60+53.22</f>
        <v>113.22</v>
      </c>
      <c r="H13" s="10">
        <v>280</v>
      </c>
      <c r="I13" s="10">
        <f>1*60+42.82</f>
        <v>102.82</v>
      </c>
      <c r="J13" s="10">
        <f t="shared" si="0"/>
        <v>440</v>
      </c>
      <c r="K13" s="10">
        <f t="shared" si="1"/>
        <v>216.04</v>
      </c>
      <c r="L13" s="16" t="s">
        <v>33</v>
      </c>
    </row>
    <row r="14" ht="25.25" customHeight="1" spans="1:12">
      <c r="A14" s="9">
        <v>12</v>
      </c>
      <c r="B14" s="10" t="s">
        <v>18</v>
      </c>
      <c r="C14" s="11" t="s">
        <v>183</v>
      </c>
      <c r="D14" s="10" t="s">
        <v>210</v>
      </c>
      <c r="E14" s="10" t="s">
        <v>211</v>
      </c>
      <c r="F14" s="10">
        <v>220</v>
      </c>
      <c r="G14" s="10">
        <f>2*60+27.06</f>
        <v>147.06</v>
      </c>
      <c r="H14" s="10">
        <v>180</v>
      </c>
      <c r="I14" s="10">
        <f>1*60+58.81</f>
        <v>118.81</v>
      </c>
      <c r="J14" s="10">
        <f t="shared" si="0"/>
        <v>400</v>
      </c>
      <c r="K14" s="10">
        <f t="shared" si="1"/>
        <v>265.87</v>
      </c>
      <c r="L14" s="16" t="s">
        <v>33</v>
      </c>
    </row>
    <row r="15" ht="33" customHeight="1" spans="1:12">
      <c r="A15" s="9">
        <v>13</v>
      </c>
      <c r="B15" s="10" t="s">
        <v>85</v>
      </c>
      <c r="C15" s="11" t="s">
        <v>212</v>
      </c>
      <c r="D15" s="10" t="s">
        <v>213</v>
      </c>
      <c r="E15" s="10" t="s">
        <v>214</v>
      </c>
      <c r="F15" s="10">
        <v>280</v>
      </c>
      <c r="G15" s="10">
        <f>1*60+46.59</f>
        <v>106.59</v>
      </c>
      <c r="H15" s="10">
        <v>100</v>
      </c>
      <c r="I15" s="10">
        <f>3*60</f>
        <v>180</v>
      </c>
      <c r="J15" s="10">
        <f t="shared" si="0"/>
        <v>380</v>
      </c>
      <c r="K15" s="10">
        <f t="shared" si="1"/>
        <v>286.59</v>
      </c>
      <c r="L15" s="16" t="s">
        <v>33</v>
      </c>
    </row>
    <row r="16" ht="31" customHeight="1" spans="1:12">
      <c r="A16" s="9">
        <v>14</v>
      </c>
      <c r="B16" s="10" t="s">
        <v>18</v>
      </c>
      <c r="C16" s="11" t="s">
        <v>215</v>
      </c>
      <c r="D16" s="10" t="s">
        <v>216</v>
      </c>
      <c r="E16" s="10" t="s">
        <v>217</v>
      </c>
      <c r="F16" s="12">
        <v>190</v>
      </c>
      <c r="G16" s="12">
        <f>2*60+47.62</f>
        <v>167.62</v>
      </c>
      <c r="H16" s="12">
        <v>190</v>
      </c>
      <c r="I16" s="12">
        <f>2*60+6.81</f>
        <v>126.81</v>
      </c>
      <c r="J16" s="10">
        <f t="shared" si="0"/>
        <v>380</v>
      </c>
      <c r="K16" s="10">
        <f t="shared" si="1"/>
        <v>294.43</v>
      </c>
      <c r="L16" s="16" t="s">
        <v>33</v>
      </c>
    </row>
    <row r="17" s="2" customFormat="1" ht="31" customHeight="1" spans="1:12">
      <c r="A17" s="9">
        <v>15</v>
      </c>
      <c r="B17" s="10" t="s">
        <v>85</v>
      </c>
      <c r="C17" s="11" t="s">
        <v>218</v>
      </c>
      <c r="D17" s="10" t="s">
        <v>219</v>
      </c>
      <c r="E17" s="10" t="s">
        <v>220</v>
      </c>
      <c r="F17" s="13">
        <v>200</v>
      </c>
      <c r="G17" s="13">
        <f>2*60+48.62</f>
        <v>168.62</v>
      </c>
      <c r="H17" s="13">
        <v>160</v>
      </c>
      <c r="I17" s="13">
        <f>2*60+42.31</f>
        <v>162.31</v>
      </c>
      <c r="J17" s="10">
        <f t="shared" si="0"/>
        <v>360</v>
      </c>
      <c r="K17" s="10">
        <f t="shared" si="1"/>
        <v>330.93</v>
      </c>
      <c r="L17" s="16" t="s">
        <v>33</v>
      </c>
    </row>
    <row r="18" s="2" customFormat="1" ht="25.25" customHeight="1" spans="1:12">
      <c r="A18" s="9">
        <v>16</v>
      </c>
      <c r="B18" s="10" t="s">
        <v>81</v>
      </c>
      <c r="C18" s="11" t="s">
        <v>221</v>
      </c>
      <c r="D18" s="10" t="s">
        <v>222</v>
      </c>
      <c r="E18" s="10" t="s">
        <v>223</v>
      </c>
      <c r="F18" s="13">
        <v>150</v>
      </c>
      <c r="G18" s="13">
        <f>2*60+38.88</f>
        <v>158.88</v>
      </c>
      <c r="H18" s="13">
        <v>200</v>
      </c>
      <c r="I18" s="13">
        <f>2*60+36.06</f>
        <v>156.06</v>
      </c>
      <c r="J18" s="10">
        <f t="shared" si="0"/>
        <v>350</v>
      </c>
      <c r="K18" s="10">
        <f t="shared" si="1"/>
        <v>314.94</v>
      </c>
      <c r="L18" s="16" t="s">
        <v>33</v>
      </c>
    </row>
    <row r="19" s="2" customFormat="1" ht="25.25" customHeight="1" spans="1:12">
      <c r="A19" s="9">
        <v>17</v>
      </c>
      <c r="B19" s="10" t="s">
        <v>50</v>
      </c>
      <c r="C19" s="11" t="s">
        <v>224</v>
      </c>
      <c r="D19" s="10" t="s">
        <v>225</v>
      </c>
      <c r="E19" s="10" t="s">
        <v>226</v>
      </c>
      <c r="F19" s="13">
        <v>140</v>
      </c>
      <c r="G19" s="13">
        <f>2*60+42.01</f>
        <v>162.01</v>
      </c>
      <c r="H19" s="13">
        <v>200</v>
      </c>
      <c r="I19" s="13">
        <f>2*60+10.46</f>
        <v>130.46</v>
      </c>
      <c r="J19" s="10">
        <f t="shared" si="0"/>
        <v>340</v>
      </c>
      <c r="K19" s="10">
        <f t="shared" si="1"/>
        <v>292.47</v>
      </c>
      <c r="L19" s="16" t="s">
        <v>33</v>
      </c>
    </row>
    <row r="20" s="2" customFormat="1" ht="25.25" customHeight="1" spans="1:12">
      <c r="A20" s="9">
        <v>18</v>
      </c>
      <c r="B20" s="10" t="s">
        <v>18</v>
      </c>
      <c r="C20" s="11" t="s">
        <v>227</v>
      </c>
      <c r="D20" s="10" t="s">
        <v>228</v>
      </c>
      <c r="E20" s="10" t="s">
        <v>229</v>
      </c>
      <c r="F20" s="13">
        <v>220</v>
      </c>
      <c r="G20" s="13">
        <f>2*60+46.62</f>
        <v>166.62</v>
      </c>
      <c r="H20" s="13">
        <v>120</v>
      </c>
      <c r="I20" s="13">
        <f>2*60+56.94</f>
        <v>176.94</v>
      </c>
      <c r="J20" s="10">
        <f t="shared" si="0"/>
        <v>340</v>
      </c>
      <c r="K20" s="10">
        <f t="shared" si="1"/>
        <v>343.56</v>
      </c>
      <c r="L20" s="16" t="s">
        <v>33</v>
      </c>
    </row>
    <row r="21" s="2" customFormat="1" ht="25.25" customHeight="1" spans="1:12">
      <c r="A21" s="9">
        <v>19</v>
      </c>
      <c r="B21" s="10" t="s">
        <v>13</v>
      </c>
      <c r="C21" s="11" t="s">
        <v>207</v>
      </c>
      <c r="D21" s="10" t="s">
        <v>230</v>
      </c>
      <c r="E21" s="10" t="s">
        <v>231</v>
      </c>
      <c r="F21" s="13">
        <v>100</v>
      </c>
      <c r="G21" s="13">
        <f>3*60</f>
        <v>180</v>
      </c>
      <c r="H21" s="13">
        <v>230</v>
      </c>
      <c r="I21" s="13">
        <f>2*60+31.25</f>
        <v>151.25</v>
      </c>
      <c r="J21" s="10">
        <f t="shared" si="0"/>
        <v>330</v>
      </c>
      <c r="K21" s="10">
        <f t="shared" si="1"/>
        <v>331.25</v>
      </c>
      <c r="L21" s="16" t="s">
        <v>33</v>
      </c>
    </row>
    <row r="22" s="2" customFormat="1" ht="25.25" customHeight="1" spans="1:12">
      <c r="A22" s="9">
        <v>20</v>
      </c>
      <c r="B22" s="10" t="s">
        <v>126</v>
      </c>
      <c r="C22" s="11" t="s">
        <v>232</v>
      </c>
      <c r="D22" s="10" t="s">
        <v>233</v>
      </c>
      <c r="E22" s="10" t="s">
        <v>234</v>
      </c>
      <c r="F22" s="13">
        <v>190</v>
      </c>
      <c r="G22" s="13">
        <f>2*60+48.75</f>
        <v>168.75</v>
      </c>
      <c r="H22" s="13">
        <v>110</v>
      </c>
      <c r="I22" s="13">
        <f>2*60+1.45</f>
        <v>121.45</v>
      </c>
      <c r="J22" s="10">
        <f t="shared" si="0"/>
        <v>300</v>
      </c>
      <c r="K22" s="10">
        <f t="shared" si="1"/>
        <v>290.2</v>
      </c>
      <c r="L22" s="16" t="s">
        <v>33</v>
      </c>
    </row>
    <row r="23" s="2" customFormat="1" ht="25.25" customHeight="1" spans="1:12">
      <c r="A23" s="9">
        <v>21</v>
      </c>
      <c r="B23" s="10" t="s">
        <v>50</v>
      </c>
      <c r="C23" s="11" t="s">
        <v>235</v>
      </c>
      <c r="D23" s="10" t="s">
        <v>236</v>
      </c>
      <c r="E23" s="10" t="s">
        <v>237</v>
      </c>
      <c r="F23" s="13">
        <v>140</v>
      </c>
      <c r="G23" s="13">
        <f>1*60+51.69</f>
        <v>111.69</v>
      </c>
      <c r="H23" s="13">
        <v>140</v>
      </c>
      <c r="I23" s="13">
        <f>2*60+3.66</f>
        <v>123.66</v>
      </c>
      <c r="J23" s="10">
        <f t="shared" si="0"/>
        <v>280</v>
      </c>
      <c r="K23" s="10">
        <f t="shared" si="1"/>
        <v>235.35</v>
      </c>
      <c r="L23" s="16" t="s">
        <v>33</v>
      </c>
    </row>
    <row r="24" s="2" customFormat="1" ht="33" customHeight="1" spans="1:12">
      <c r="A24" s="9">
        <v>22</v>
      </c>
      <c r="B24" s="10" t="s">
        <v>81</v>
      </c>
      <c r="C24" s="11" t="s">
        <v>238</v>
      </c>
      <c r="D24" s="10" t="s">
        <v>239</v>
      </c>
      <c r="E24" s="10" t="s">
        <v>240</v>
      </c>
      <c r="F24" s="13">
        <v>170</v>
      </c>
      <c r="G24" s="13">
        <f>2*60+47.59</f>
        <v>167.59</v>
      </c>
      <c r="H24" s="13">
        <v>110</v>
      </c>
      <c r="I24" s="13">
        <f>2*60+5.06</f>
        <v>125.06</v>
      </c>
      <c r="J24" s="10">
        <f t="shared" si="0"/>
        <v>280</v>
      </c>
      <c r="K24" s="10">
        <f t="shared" si="1"/>
        <v>292.65</v>
      </c>
      <c r="L24" s="16" t="s">
        <v>33</v>
      </c>
    </row>
    <row r="25" s="2" customFormat="1" ht="25.25" customHeight="1" spans="1:12">
      <c r="A25" s="9">
        <v>23</v>
      </c>
      <c r="B25" s="10" t="s">
        <v>42</v>
      </c>
      <c r="C25" s="11" t="s">
        <v>131</v>
      </c>
      <c r="D25" s="10" t="s">
        <v>241</v>
      </c>
      <c r="E25" s="10" t="s">
        <v>242</v>
      </c>
      <c r="F25" s="13">
        <v>150</v>
      </c>
      <c r="G25" s="13">
        <f>2*60+43.18</f>
        <v>163.18</v>
      </c>
      <c r="H25" s="13">
        <v>130</v>
      </c>
      <c r="I25" s="13">
        <f>3*60</f>
        <v>180</v>
      </c>
      <c r="J25" s="10">
        <f t="shared" si="0"/>
        <v>280</v>
      </c>
      <c r="K25" s="10">
        <f t="shared" si="1"/>
        <v>343.18</v>
      </c>
      <c r="L25" s="16" t="s">
        <v>33</v>
      </c>
    </row>
    <row r="26" s="2" customFormat="1" ht="25.25" customHeight="1" spans="1:12">
      <c r="A26" s="9">
        <v>24</v>
      </c>
      <c r="B26" s="10" t="s">
        <v>108</v>
      </c>
      <c r="C26" s="11" t="s">
        <v>243</v>
      </c>
      <c r="D26" s="10" t="s">
        <v>244</v>
      </c>
      <c r="E26" s="10" t="s">
        <v>245</v>
      </c>
      <c r="F26" s="13">
        <v>160</v>
      </c>
      <c r="G26" s="13">
        <f>2*60+7</f>
        <v>127</v>
      </c>
      <c r="H26" s="13">
        <v>90</v>
      </c>
      <c r="I26" s="13">
        <f>1*60+22.4</f>
        <v>82.4</v>
      </c>
      <c r="J26" s="10">
        <f t="shared" si="0"/>
        <v>250</v>
      </c>
      <c r="K26" s="10">
        <f t="shared" si="1"/>
        <v>209.4</v>
      </c>
      <c r="L26" s="16" t="s">
        <v>33</v>
      </c>
    </row>
    <row r="27" s="2" customFormat="1" ht="25.25" customHeight="1" spans="1:12">
      <c r="A27" s="9">
        <v>25</v>
      </c>
      <c r="B27" s="10" t="s">
        <v>29</v>
      </c>
      <c r="C27" s="11" t="s">
        <v>246</v>
      </c>
      <c r="D27" s="10" t="s">
        <v>247</v>
      </c>
      <c r="E27" s="10" t="s">
        <v>248</v>
      </c>
      <c r="F27" s="13">
        <v>150</v>
      </c>
      <c r="G27" s="13">
        <f>1*60+58.97</f>
        <v>118.97</v>
      </c>
      <c r="H27" s="13">
        <v>90</v>
      </c>
      <c r="I27" s="13">
        <f>1*60+5.97</f>
        <v>65.97</v>
      </c>
      <c r="J27" s="10">
        <f t="shared" si="0"/>
        <v>240</v>
      </c>
      <c r="K27" s="10">
        <f t="shared" si="1"/>
        <v>184.94</v>
      </c>
      <c r="L27" s="16" t="s">
        <v>33</v>
      </c>
    </row>
    <row r="28" s="2" customFormat="1" ht="25.25" customHeight="1" spans="1:12">
      <c r="A28" s="9">
        <v>26</v>
      </c>
      <c r="B28" s="10" t="s">
        <v>119</v>
      </c>
      <c r="C28" s="11" t="s">
        <v>249</v>
      </c>
      <c r="D28" s="10" t="s">
        <v>250</v>
      </c>
      <c r="E28" s="10" t="s">
        <v>251</v>
      </c>
      <c r="F28" s="13">
        <v>110</v>
      </c>
      <c r="G28" s="13">
        <f>2*60+44</f>
        <v>164</v>
      </c>
      <c r="H28" s="13">
        <v>130</v>
      </c>
      <c r="I28" s="13">
        <f>2*60+15.25</f>
        <v>135.25</v>
      </c>
      <c r="J28" s="10">
        <f t="shared" si="0"/>
        <v>240</v>
      </c>
      <c r="K28" s="10">
        <f t="shared" si="1"/>
        <v>299.25</v>
      </c>
      <c r="L28" s="16" t="s">
        <v>33</v>
      </c>
    </row>
    <row r="29" s="2" customFormat="1" ht="25.25" customHeight="1" spans="1:12">
      <c r="A29" s="9">
        <v>27</v>
      </c>
      <c r="B29" s="10" t="s">
        <v>126</v>
      </c>
      <c r="C29" s="11" t="s">
        <v>252</v>
      </c>
      <c r="D29" s="10" t="s">
        <v>253</v>
      </c>
      <c r="E29" s="10" t="s">
        <v>254</v>
      </c>
      <c r="F29" s="13">
        <v>120</v>
      </c>
      <c r="G29" s="13">
        <f>3*60</f>
        <v>180</v>
      </c>
      <c r="H29" s="13">
        <v>110</v>
      </c>
      <c r="I29" s="13">
        <f>3*60</f>
        <v>180</v>
      </c>
      <c r="J29" s="10">
        <f t="shared" si="0"/>
        <v>230</v>
      </c>
      <c r="K29" s="10">
        <f t="shared" si="1"/>
        <v>360</v>
      </c>
      <c r="L29" s="16" t="s">
        <v>67</v>
      </c>
    </row>
    <row r="30" s="2" customFormat="1" ht="29" customHeight="1" spans="1:12">
      <c r="A30" s="9">
        <v>28</v>
      </c>
      <c r="B30" s="10" t="s">
        <v>63</v>
      </c>
      <c r="C30" s="11" t="s">
        <v>255</v>
      </c>
      <c r="D30" s="10" t="s">
        <v>256</v>
      </c>
      <c r="E30" s="10" t="s">
        <v>257</v>
      </c>
      <c r="F30" s="13">
        <v>50</v>
      </c>
      <c r="G30" s="13">
        <f>1*60+26.03</f>
        <v>86.03</v>
      </c>
      <c r="H30" s="13">
        <v>170</v>
      </c>
      <c r="I30" s="13">
        <f>1*60+43.37</f>
        <v>103.37</v>
      </c>
      <c r="J30" s="10">
        <f t="shared" si="0"/>
        <v>220</v>
      </c>
      <c r="K30" s="10">
        <f t="shared" si="1"/>
        <v>189.4</v>
      </c>
      <c r="L30" s="16" t="s">
        <v>67</v>
      </c>
    </row>
    <row r="31" s="2" customFormat="1" ht="34" customHeight="1" spans="1:12">
      <c r="A31" s="9">
        <v>29</v>
      </c>
      <c r="B31" s="10" t="s">
        <v>34</v>
      </c>
      <c r="C31" s="11" t="s">
        <v>258</v>
      </c>
      <c r="D31" s="10" t="s">
        <v>259</v>
      </c>
      <c r="E31" s="10" t="s">
        <v>260</v>
      </c>
      <c r="F31" s="13">
        <v>100</v>
      </c>
      <c r="G31" s="13">
        <f>1*60+10.16</f>
        <v>70.16</v>
      </c>
      <c r="H31" s="13">
        <v>100</v>
      </c>
      <c r="I31" s="13">
        <f>1*60+41.46</f>
        <v>101.46</v>
      </c>
      <c r="J31" s="10">
        <f t="shared" si="0"/>
        <v>200</v>
      </c>
      <c r="K31" s="10">
        <f t="shared" si="1"/>
        <v>171.62</v>
      </c>
      <c r="L31" s="16" t="s">
        <v>67</v>
      </c>
    </row>
    <row r="32" s="2" customFormat="1" ht="25.25" customHeight="1" spans="1:12">
      <c r="A32" s="9">
        <v>30</v>
      </c>
      <c r="B32" s="10" t="s">
        <v>108</v>
      </c>
      <c r="C32" s="11" t="s">
        <v>261</v>
      </c>
      <c r="D32" s="10" t="s">
        <v>262</v>
      </c>
      <c r="E32" s="10" t="s">
        <v>263</v>
      </c>
      <c r="F32" s="13">
        <v>60</v>
      </c>
      <c r="G32" s="13">
        <f>2*60+30.75</f>
        <v>150.75</v>
      </c>
      <c r="H32" s="13">
        <v>130</v>
      </c>
      <c r="I32" s="13">
        <f t="shared" ref="I32:I37" si="2">3*60</f>
        <v>180</v>
      </c>
      <c r="J32" s="10">
        <f t="shared" si="0"/>
        <v>190</v>
      </c>
      <c r="K32" s="10">
        <f t="shared" si="1"/>
        <v>330.75</v>
      </c>
      <c r="L32" s="16" t="s">
        <v>67</v>
      </c>
    </row>
    <row r="33" s="2" customFormat="1" ht="48" customHeight="1" spans="1:12">
      <c r="A33" s="9">
        <v>31</v>
      </c>
      <c r="B33" s="10" t="s">
        <v>63</v>
      </c>
      <c r="C33" s="11" t="s">
        <v>264</v>
      </c>
      <c r="D33" s="10" t="s">
        <v>265</v>
      </c>
      <c r="E33" s="10" t="s">
        <v>266</v>
      </c>
      <c r="F33" s="13">
        <v>30</v>
      </c>
      <c r="G33" s="13">
        <f>1*60+17.94</f>
        <v>77.94</v>
      </c>
      <c r="H33" s="13">
        <v>110</v>
      </c>
      <c r="I33" s="13">
        <f>1*60+7</f>
        <v>67</v>
      </c>
      <c r="J33" s="10">
        <f t="shared" si="0"/>
        <v>140</v>
      </c>
      <c r="K33" s="10">
        <f t="shared" si="1"/>
        <v>144.94</v>
      </c>
      <c r="L33" s="16" t="s">
        <v>67</v>
      </c>
    </row>
    <row r="34" s="2" customFormat="1" ht="25.25" customHeight="1" spans="1:12">
      <c r="A34" s="9">
        <v>32</v>
      </c>
      <c r="B34" s="10" t="s">
        <v>34</v>
      </c>
      <c r="C34" s="11" t="s">
        <v>267</v>
      </c>
      <c r="D34" s="10" t="s">
        <v>268</v>
      </c>
      <c r="E34" s="10" t="s">
        <v>269</v>
      </c>
      <c r="F34" s="13">
        <v>90</v>
      </c>
      <c r="G34" s="13">
        <f>2*60+39.57</f>
        <v>159.57</v>
      </c>
      <c r="H34" s="13">
        <v>50</v>
      </c>
      <c r="I34" s="13">
        <f>1*60+15.81</f>
        <v>75.81</v>
      </c>
      <c r="J34" s="10">
        <f t="shared" si="0"/>
        <v>140</v>
      </c>
      <c r="K34" s="10">
        <f t="shared" si="1"/>
        <v>235.38</v>
      </c>
      <c r="L34" s="16" t="s">
        <v>67</v>
      </c>
    </row>
    <row r="35" s="2" customFormat="1" ht="25.25" customHeight="1" spans="1:12">
      <c r="A35" s="9">
        <v>33</v>
      </c>
      <c r="B35" s="10" t="s">
        <v>29</v>
      </c>
      <c r="C35" s="11" t="s">
        <v>270</v>
      </c>
      <c r="D35" s="10" t="s">
        <v>271</v>
      </c>
      <c r="E35" s="10" t="s">
        <v>272</v>
      </c>
      <c r="F35" s="10">
        <v>30</v>
      </c>
      <c r="G35" s="10">
        <f t="shared" ref="G35:G39" si="3">3*60</f>
        <v>180</v>
      </c>
      <c r="H35" s="10">
        <v>110</v>
      </c>
      <c r="I35" s="10">
        <f t="shared" si="2"/>
        <v>180</v>
      </c>
      <c r="J35" s="10">
        <f t="shared" si="0"/>
        <v>140</v>
      </c>
      <c r="K35" s="10">
        <f t="shared" si="1"/>
        <v>360</v>
      </c>
      <c r="L35" s="16" t="s">
        <v>67</v>
      </c>
    </row>
    <row r="36" ht="31" customHeight="1" spans="1:12">
      <c r="A36" s="9">
        <v>34</v>
      </c>
      <c r="B36" s="10" t="s">
        <v>63</v>
      </c>
      <c r="C36" s="11" t="s">
        <v>255</v>
      </c>
      <c r="D36" s="10" t="s">
        <v>273</v>
      </c>
      <c r="E36" s="10" t="s">
        <v>257</v>
      </c>
      <c r="F36" s="10">
        <v>100</v>
      </c>
      <c r="G36" s="10">
        <f>1*60+48.54</f>
        <v>108.54</v>
      </c>
      <c r="H36" s="10">
        <v>30</v>
      </c>
      <c r="I36" s="10">
        <f>1*60+47.4</f>
        <v>107.4</v>
      </c>
      <c r="J36" s="10">
        <f t="shared" si="0"/>
        <v>130</v>
      </c>
      <c r="K36" s="10">
        <f t="shared" si="1"/>
        <v>215.94</v>
      </c>
      <c r="L36" s="16" t="s">
        <v>67</v>
      </c>
    </row>
    <row r="37" ht="34" customHeight="1" spans="1:12">
      <c r="A37" s="9">
        <v>35</v>
      </c>
      <c r="B37" s="10" t="s">
        <v>81</v>
      </c>
      <c r="C37" s="11" t="s">
        <v>274</v>
      </c>
      <c r="D37" s="10" t="s">
        <v>275</v>
      </c>
      <c r="E37" s="10" t="s">
        <v>276</v>
      </c>
      <c r="F37" s="10">
        <v>40</v>
      </c>
      <c r="G37" s="10">
        <f t="shared" si="3"/>
        <v>180</v>
      </c>
      <c r="H37" s="10">
        <v>90</v>
      </c>
      <c r="I37" s="10">
        <f t="shared" si="2"/>
        <v>180</v>
      </c>
      <c r="J37" s="10">
        <f t="shared" si="0"/>
        <v>130</v>
      </c>
      <c r="K37" s="10">
        <f t="shared" si="1"/>
        <v>360</v>
      </c>
      <c r="L37" s="16" t="s">
        <v>67</v>
      </c>
    </row>
    <row r="38" ht="25.25" customHeight="1" spans="1:12">
      <c r="A38" s="9">
        <v>36</v>
      </c>
      <c r="B38" s="10" t="s">
        <v>29</v>
      </c>
      <c r="C38" s="11" t="s">
        <v>277</v>
      </c>
      <c r="D38" s="10" t="s">
        <v>278</v>
      </c>
      <c r="E38" s="10" t="s">
        <v>279</v>
      </c>
      <c r="F38" s="10">
        <v>30</v>
      </c>
      <c r="G38" s="10">
        <f t="shared" si="3"/>
        <v>180</v>
      </c>
      <c r="H38" s="10">
        <v>90</v>
      </c>
      <c r="I38" s="10">
        <f>2*60+45.87</f>
        <v>165.87</v>
      </c>
      <c r="J38" s="10">
        <f t="shared" si="0"/>
        <v>120</v>
      </c>
      <c r="K38" s="10">
        <f t="shared" si="1"/>
        <v>345.87</v>
      </c>
      <c r="L38" s="16" t="s">
        <v>67</v>
      </c>
    </row>
    <row r="39" ht="25.25" customHeight="1" spans="1:12">
      <c r="A39" s="9">
        <v>37</v>
      </c>
      <c r="B39" s="10" t="s">
        <v>89</v>
      </c>
      <c r="C39" s="11" t="s">
        <v>280</v>
      </c>
      <c r="D39" s="10" t="s">
        <v>281</v>
      </c>
      <c r="E39" s="10" t="s">
        <v>282</v>
      </c>
      <c r="F39" s="10">
        <v>30</v>
      </c>
      <c r="G39" s="10">
        <f t="shared" si="3"/>
        <v>180</v>
      </c>
      <c r="H39" s="10">
        <v>80</v>
      </c>
      <c r="I39" s="10">
        <f>3*60</f>
        <v>180</v>
      </c>
      <c r="J39" s="10">
        <f t="shared" si="0"/>
        <v>110</v>
      </c>
      <c r="K39" s="10">
        <f t="shared" si="1"/>
        <v>360</v>
      </c>
      <c r="L39" s="16" t="s">
        <v>67</v>
      </c>
    </row>
    <row r="40" ht="25.25" customHeight="1" spans="1:12">
      <c r="A40" s="9">
        <v>38</v>
      </c>
      <c r="B40" s="10" t="s">
        <v>108</v>
      </c>
      <c r="C40" s="11" t="s">
        <v>283</v>
      </c>
      <c r="D40" s="10" t="s">
        <v>284</v>
      </c>
      <c r="E40" s="10" t="s">
        <v>285</v>
      </c>
      <c r="F40" s="10">
        <v>40</v>
      </c>
      <c r="G40" s="10">
        <f>1*60+48.87</f>
        <v>108.87</v>
      </c>
      <c r="H40" s="10">
        <v>60</v>
      </c>
      <c r="I40" s="10">
        <f>1*60+43.53</f>
        <v>103.53</v>
      </c>
      <c r="J40" s="10">
        <f t="shared" si="0"/>
        <v>100</v>
      </c>
      <c r="K40" s="10">
        <f t="shared" si="1"/>
        <v>212.4</v>
      </c>
      <c r="L40" s="16" t="s">
        <v>67</v>
      </c>
    </row>
    <row r="41" ht="25.25" customHeight="1" spans="1:12">
      <c r="A41" s="9">
        <v>39</v>
      </c>
      <c r="B41" s="10" t="s">
        <v>108</v>
      </c>
      <c r="C41" s="11" t="s">
        <v>286</v>
      </c>
      <c r="D41" s="10" t="s">
        <v>287</v>
      </c>
      <c r="E41" s="10" t="s">
        <v>288</v>
      </c>
      <c r="F41" s="10">
        <v>50</v>
      </c>
      <c r="G41" s="10">
        <f>3*60</f>
        <v>180</v>
      </c>
      <c r="H41" s="10">
        <v>50</v>
      </c>
      <c r="I41" s="10">
        <f>3*60</f>
        <v>180</v>
      </c>
      <c r="J41" s="10">
        <f t="shared" si="0"/>
        <v>100</v>
      </c>
      <c r="K41" s="10">
        <f t="shared" si="1"/>
        <v>360</v>
      </c>
      <c r="L41" s="16" t="s">
        <v>67</v>
      </c>
    </row>
    <row r="42" ht="25.25" customHeight="1" spans="1:12">
      <c r="A42" s="9">
        <v>40</v>
      </c>
      <c r="B42" s="10" t="s">
        <v>89</v>
      </c>
      <c r="C42" s="11" t="s">
        <v>289</v>
      </c>
      <c r="D42" s="10" t="s">
        <v>290</v>
      </c>
      <c r="E42" s="10" t="s">
        <v>291</v>
      </c>
      <c r="F42" s="10">
        <v>40</v>
      </c>
      <c r="G42" s="10">
        <f>58.5</f>
        <v>58.5</v>
      </c>
      <c r="H42" s="10">
        <v>40</v>
      </c>
      <c r="I42" s="10">
        <f>1*60+56.12</f>
        <v>116.12</v>
      </c>
      <c r="J42" s="10">
        <f t="shared" si="0"/>
        <v>80</v>
      </c>
      <c r="K42" s="10">
        <f t="shared" si="1"/>
        <v>174.62</v>
      </c>
      <c r="L42" s="16" t="s">
        <v>67</v>
      </c>
    </row>
    <row r="43" ht="25.25" customHeight="1" spans="1:12">
      <c r="A43" s="9">
        <v>41</v>
      </c>
      <c r="B43" s="10" t="s">
        <v>85</v>
      </c>
      <c r="C43" s="11" t="s">
        <v>292</v>
      </c>
      <c r="D43" s="10" t="s">
        <v>293</v>
      </c>
      <c r="E43" s="10" t="s">
        <v>294</v>
      </c>
      <c r="F43" s="10">
        <v>30</v>
      </c>
      <c r="G43" s="10">
        <f>2*60+14.25</f>
        <v>134.25</v>
      </c>
      <c r="H43" s="10">
        <v>20</v>
      </c>
      <c r="I43" s="10">
        <f>2*60+21.84</f>
        <v>141.84</v>
      </c>
      <c r="J43" s="10">
        <f t="shared" si="0"/>
        <v>50</v>
      </c>
      <c r="K43" s="10">
        <f t="shared" si="1"/>
        <v>276.09</v>
      </c>
      <c r="L43" s="16" t="s">
        <v>67</v>
      </c>
    </row>
    <row r="44" ht="34" customHeight="1" spans="1:12">
      <c r="A44" s="9">
        <v>42</v>
      </c>
      <c r="B44" s="10" t="s">
        <v>63</v>
      </c>
      <c r="C44" s="11" t="s">
        <v>255</v>
      </c>
      <c r="D44" s="10" t="s">
        <v>295</v>
      </c>
      <c r="E44" s="10" t="s">
        <v>257</v>
      </c>
      <c r="F44" s="10">
        <v>20</v>
      </c>
      <c r="G44" s="10">
        <f>1*60+11.07</f>
        <v>71.07</v>
      </c>
      <c r="H44" s="10">
        <v>20</v>
      </c>
      <c r="I44" s="10">
        <f>3.47</f>
        <v>3.47</v>
      </c>
      <c r="J44" s="10">
        <f t="shared" si="0"/>
        <v>40</v>
      </c>
      <c r="K44" s="10">
        <f t="shared" si="1"/>
        <v>74.54</v>
      </c>
      <c r="L44" s="16" t="s">
        <v>67</v>
      </c>
    </row>
    <row r="45" ht="25.25" customHeight="1" spans="1:12">
      <c r="A45" s="9">
        <v>43</v>
      </c>
      <c r="B45" s="10" t="s">
        <v>25</v>
      </c>
      <c r="C45" s="11" t="s">
        <v>296</v>
      </c>
      <c r="D45" s="10" t="s">
        <v>297</v>
      </c>
      <c r="E45" s="10" t="s">
        <v>298</v>
      </c>
      <c r="F45" s="10">
        <v>20</v>
      </c>
      <c r="G45" s="10">
        <f>1*60+19.82</f>
        <v>79.82</v>
      </c>
      <c r="H45" s="10">
        <v>20</v>
      </c>
      <c r="I45" s="10">
        <f>30.13</f>
        <v>30.13</v>
      </c>
      <c r="J45" s="10">
        <f t="shared" si="0"/>
        <v>40</v>
      </c>
      <c r="K45" s="10">
        <f t="shared" si="1"/>
        <v>109.95</v>
      </c>
      <c r="L45" s="16" t="s">
        <v>67</v>
      </c>
    </row>
    <row r="46" ht="25.25" customHeight="1" spans="1:12">
      <c r="A46" s="9">
        <v>44</v>
      </c>
      <c r="B46" s="10" t="s">
        <v>56</v>
      </c>
      <c r="C46" s="11" t="s">
        <v>299</v>
      </c>
      <c r="D46" s="10" t="s">
        <v>300</v>
      </c>
      <c r="E46" s="10" t="s">
        <v>301</v>
      </c>
      <c r="F46" s="10">
        <v>20</v>
      </c>
      <c r="G46" s="10">
        <f>48.59</f>
        <v>48.59</v>
      </c>
      <c r="H46" s="10">
        <v>20</v>
      </c>
      <c r="I46" s="10">
        <f>2*60+22.19</f>
        <v>142.19</v>
      </c>
      <c r="J46" s="10">
        <f t="shared" si="0"/>
        <v>40</v>
      </c>
      <c r="K46" s="10">
        <f t="shared" si="1"/>
        <v>190.78</v>
      </c>
      <c r="L46" s="16" t="s">
        <v>67</v>
      </c>
    </row>
    <row r="47" ht="32" customHeight="1" spans="1:12">
      <c r="A47" s="9">
        <v>45</v>
      </c>
      <c r="B47" s="10" t="s">
        <v>46</v>
      </c>
      <c r="C47" s="11" t="s">
        <v>302</v>
      </c>
      <c r="D47" s="10" t="s">
        <v>303</v>
      </c>
      <c r="E47" s="10" t="s">
        <v>304</v>
      </c>
      <c r="F47" s="10">
        <v>20</v>
      </c>
      <c r="G47" s="10">
        <f>2*60+51.34</f>
        <v>171.34</v>
      </c>
      <c r="H47" s="10">
        <v>20</v>
      </c>
      <c r="I47" s="10">
        <f>24.03</f>
        <v>24.03</v>
      </c>
      <c r="J47" s="10">
        <f t="shared" si="0"/>
        <v>40</v>
      </c>
      <c r="K47" s="10">
        <f t="shared" si="1"/>
        <v>195.37</v>
      </c>
      <c r="L47" s="16" t="s">
        <v>67</v>
      </c>
    </row>
    <row r="48" ht="31" customHeight="1" spans="1:12">
      <c r="A48" s="9">
        <v>46</v>
      </c>
      <c r="B48" s="10" t="s">
        <v>42</v>
      </c>
      <c r="C48" s="11" t="s">
        <v>159</v>
      </c>
      <c r="D48" s="10" t="s">
        <v>305</v>
      </c>
      <c r="E48" s="10" t="s">
        <v>306</v>
      </c>
      <c r="F48" s="10">
        <v>20</v>
      </c>
      <c r="G48" s="10">
        <f>2*60+43.55</f>
        <v>163.55</v>
      </c>
      <c r="H48" s="10">
        <v>20</v>
      </c>
      <c r="I48" s="10">
        <f>1*60+10.5</f>
        <v>70.5</v>
      </c>
      <c r="J48" s="10">
        <f t="shared" si="0"/>
        <v>40</v>
      </c>
      <c r="K48" s="10">
        <f t="shared" si="1"/>
        <v>234.05</v>
      </c>
      <c r="L48" s="16" t="s">
        <v>67</v>
      </c>
    </row>
    <row r="49" ht="25.25" customHeight="1" spans="1:12">
      <c r="A49" s="9">
        <v>47</v>
      </c>
      <c r="B49" s="10" t="s">
        <v>126</v>
      </c>
      <c r="C49" s="11" t="s">
        <v>307</v>
      </c>
      <c r="D49" s="10" t="s">
        <v>308</v>
      </c>
      <c r="E49" s="10" t="s">
        <v>309</v>
      </c>
      <c r="F49" s="10">
        <v>20</v>
      </c>
      <c r="G49" s="10">
        <f t="shared" ref="G49:G52" si="4">3*60</f>
        <v>180</v>
      </c>
      <c r="H49" s="10">
        <v>20</v>
      </c>
      <c r="I49" s="10">
        <f>2*60+12.44</f>
        <v>132.44</v>
      </c>
      <c r="J49" s="10">
        <f t="shared" si="0"/>
        <v>40</v>
      </c>
      <c r="K49" s="10">
        <f t="shared" si="1"/>
        <v>312.44</v>
      </c>
      <c r="L49" s="10" t="s">
        <v>67</v>
      </c>
    </row>
    <row r="50" ht="25.25" customHeight="1" spans="1:12">
      <c r="A50" s="9">
        <v>48</v>
      </c>
      <c r="B50" s="10" t="s">
        <v>89</v>
      </c>
      <c r="C50" s="11" t="s">
        <v>310</v>
      </c>
      <c r="D50" s="10" t="s">
        <v>311</v>
      </c>
      <c r="E50" s="10" t="s">
        <v>312</v>
      </c>
      <c r="F50" s="10">
        <v>20</v>
      </c>
      <c r="G50" s="10">
        <f t="shared" si="4"/>
        <v>180</v>
      </c>
      <c r="H50" s="10">
        <v>20</v>
      </c>
      <c r="I50" s="10">
        <f>3*60</f>
        <v>180</v>
      </c>
      <c r="J50" s="10">
        <f t="shared" si="0"/>
        <v>40</v>
      </c>
      <c r="K50" s="10">
        <f t="shared" si="1"/>
        <v>360</v>
      </c>
      <c r="L50" s="16" t="s">
        <v>67</v>
      </c>
    </row>
    <row r="51" ht="32" customHeight="1" spans="1:12">
      <c r="A51" s="9">
        <v>49</v>
      </c>
      <c r="B51" s="10" t="s">
        <v>46</v>
      </c>
      <c r="C51" s="11" t="s">
        <v>313</v>
      </c>
      <c r="D51" s="10" t="s">
        <v>314</v>
      </c>
      <c r="E51" s="10" t="s">
        <v>315</v>
      </c>
      <c r="F51" s="10">
        <v>0</v>
      </c>
      <c r="G51" s="10">
        <f>59.13</f>
        <v>59.13</v>
      </c>
      <c r="H51" s="10">
        <v>20</v>
      </c>
      <c r="I51" s="10">
        <f>28.13</f>
        <v>28.13</v>
      </c>
      <c r="J51" s="10">
        <f t="shared" si="0"/>
        <v>20</v>
      </c>
      <c r="K51" s="10">
        <f t="shared" si="1"/>
        <v>87.26</v>
      </c>
      <c r="L51" s="10" t="s">
        <v>67</v>
      </c>
    </row>
    <row r="52" ht="25.25" customHeight="1" spans="1:12">
      <c r="A52" s="9">
        <v>50</v>
      </c>
      <c r="B52" s="14" t="s">
        <v>85</v>
      </c>
      <c r="C52" s="11" t="s">
        <v>316</v>
      </c>
      <c r="D52" s="14" t="s">
        <v>317</v>
      </c>
      <c r="E52" s="14" t="s">
        <v>318</v>
      </c>
      <c r="F52" s="15">
        <v>0</v>
      </c>
      <c r="G52" s="15">
        <f t="shared" si="4"/>
        <v>180</v>
      </c>
      <c r="H52" s="15">
        <v>0</v>
      </c>
      <c r="I52" s="15">
        <f>3*60</f>
        <v>180</v>
      </c>
      <c r="J52" s="15">
        <v>0</v>
      </c>
      <c r="K52" s="15">
        <v>360</v>
      </c>
      <c r="L52" s="15" t="s">
        <v>67</v>
      </c>
    </row>
  </sheetData>
  <mergeCells count="1">
    <mergeCell ref="A1:K1"/>
  </mergeCells>
  <printOptions horizontalCentered="1"/>
  <pageMargins left="0.393700787401575" right="0.393700787401575" top="0.393700787401575" bottom="0.393700787401575" header="0" footer="0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高中组成绩表</vt:lpstr>
      <vt:lpstr>初中组成绩表</vt:lpstr>
      <vt:lpstr>小学组成绩表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Lenovo</cp:lastModifiedBy>
  <dcterms:created xsi:type="dcterms:W3CDTF">2023-07-06T12:51:00Z</dcterms:created>
  <cp:lastPrinted>2025-07-03T06:16:00Z</cp:lastPrinted>
  <dcterms:modified xsi:type="dcterms:W3CDTF">2025-07-21T02:17:12Z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5F193578230741569EC0B7C29DF07298_13</vt:lpwstr>
  </property>
  <property fmtid="{D5CDD505-2E9C-101B-9397-08002B2CF9AE}" pid="3" name="KSOProductBuildVer">
    <vt:lpwstr>2052-10.8.2.6990</vt:lpwstr>
  </property>
</Properties>
</file>