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3"/>
  </bookViews>
  <sheets>
    <sheet name="贴桌面" sheetId="6" state="hidden" r:id="rId1"/>
    <sheet name="小学组" sheetId="1" r:id="rId2"/>
    <sheet name="初中组" sheetId="7" r:id="rId3"/>
    <sheet name="高中组" sheetId="8" r:id="rId4"/>
  </sheets>
  <definedNames>
    <definedName name="_xlnm.Print_Titles" localSheetId="1">小学组!$1:$2</definedName>
  </definedNames>
  <calcPr calcId="144525" concurrentCalc="0"/>
</workbook>
</file>

<file path=xl/sharedStrings.xml><?xml version="1.0" encoding="utf-8"?>
<sst xmlns="http://schemas.openxmlformats.org/spreadsheetml/2006/main" count="682" uniqueCount="436">
  <si>
    <t>X01</t>
  </si>
  <si>
    <t>----------旧数据------------</t>
  </si>
  <si>
    <r>
      <rPr>
        <b/>
        <sz val="20"/>
        <rFont val="宋体"/>
        <charset val="134"/>
      </rPr>
      <t>何伟程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冯元彦</t>
    </r>
  </si>
  <si>
    <t>X02</t>
  </si>
  <si>
    <t>广州市协和中学</t>
  </si>
  <si>
    <r>
      <rPr>
        <b/>
        <sz val="20"/>
        <rFont val="宋体"/>
        <charset val="134"/>
      </rPr>
      <t>陈宣羽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陈恺进</t>
    </r>
  </si>
  <si>
    <t>X03</t>
  </si>
  <si>
    <t>惠州市惠东县惠东高级中学</t>
  </si>
  <si>
    <r>
      <rPr>
        <b/>
        <sz val="20"/>
        <rFont val="宋体"/>
        <charset val="134"/>
      </rPr>
      <t>冉启旺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冯家声</t>
    </r>
  </si>
  <si>
    <t>X04</t>
  </si>
  <si>
    <t>鹤山市鹤华中学一队</t>
  </si>
  <si>
    <r>
      <rPr>
        <b/>
        <sz val="20"/>
        <rFont val="宋体"/>
        <charset val="134"/>
      </rPr>
      <t>谢勇山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温梓恒</t>
    </r>
  </si>
  <si>
    <t>X05</t>
  </si>
  <si>
    <t>北京师范大学（珠海）附属高级中学二队</t>
  </si>
  <si>
    <r>
      <rPr>
        <b/>
        <sz val="20"/>
        <rFont val="宋体"/>
        <charset val="134"/>
      </rPr>
      <t>黄健恒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李恩浩</t>
    </r>
  </si>
  <si>
    <t>X06</t>
  </si>
  <si>
    <t>惠州市华罗庚中学</t>
  </si>
  <si>
    <r>
      <rPr>
        <b/>
        <sz val="20"/>
        <rFont val="宋体"/>
        <charset val="134"/>
      </rPr>
      <t>邬奇臻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高源</t>
    </r>
  </si>
  <si>
    <t>X07</t>
  </si>
  <si>
    <t>东莞市第六高级中学</t>
  </si>
  <si>
    <r>
      <rPr>
        <b/>
        <sz val="20"/>
        <rFont val="宋体"/>
        <charset val="134"/>
      </rPr>
      <t>周贤明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王彬</t>
    </r>
  </si>
  <si>
    <t>X08</t>
  </si>
  <si>
    <t>北京师范大学（珠海）附属高级中学一队</t>
  </si>
  <si>
    <r>
      <rPr>
        <b/>
        <sz val="20"/>
        <rFont val="宋体"/>
        <charset val="134"/>
      </rPr>
      <t>徐豪洁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李鸿飞</t>
    </r>
  </si>
  <si>
    <t>X09</t>
  </si>
  <si>
    <t>汕头市澄海隆都中学</t>
  </si>
  <si>
    <r>
      <rPr>
        <b/>
        <sz val="20"/>
        <rFont val="宋体"/>
        <charset val="134"/>
      </rPr>
      <t>许见佳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林培健</t>
    </r>
  </si>
  <si>
    <t>X10</t>
  </si>
  <si>
    <t>佛山市南海区石门中学</t>
  </si>
  <si>
    <r>
      <rPr>
        <b/>
        <sz val="20"/>
        <rFont val="宋体"/>
        <charset val="134"/>
      </rPr>
      <t>郭弘铵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陈俊桦</t>
    </r>
  </si>
  <si>
    <t>X11</t>
  </si>
  <si>
    <t>北京师范大学（珠海）附属高级中学三队</t>
  </si>
  <si>
    <r>
      <rPr>
        <b/>
        <sz val="20"/>
        <rFont val="宋体"/>
        <charset val="134"/>
      </rPr>
      <t>郭泽深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徐嘉彤</t>
    </r>
  </si>
  <si>
    <t>X12</t>
  </si>
  <si>
    <t>东莞市第七高级中学一队</t>
  </si>
  <si>
    <r>
      <rPr>
        <b/>
        <sz val="20"/>
        <rFont val="宋体"/>
        <charset val="134"/>
      </rPr>
      <t>杨康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李创展</t>
    </r>
  </si>
  <si>
    <t>X13</t>
  </si>
  <si>
    <t>鹤山市鹤华中学二队</t>
  </si>
  <si>
    <r>
      <rPr>
        <b/>
        <sz val="20"/>
        <rFont val="宋体"/>
        <charset val="134"/>
      </rPr>
      <t>王跃翔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吕颖坚</t>
    </r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</si>
  <si>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</si>
  <si>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</si>
  <si>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</si>
  <si>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</si>
  <si>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</si>
  <si>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</si>
  <si>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</si>
  <si>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</si>
  <si>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</si>
  <si>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</si>
  <si>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</si>
  <si>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</si>
  <si>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</si>
  <si>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</si>
  <si>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</si>
  <si>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</si>
  <si>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</si>
  <si>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</si>
  <si>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</si>
  <si>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</si>
  <si>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</si>
  <si>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</si>
  <si>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</si>
  <si>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</si>
  <si>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</si>
  <si>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</si>
  <si>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</si>
  <si>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</si>
  <si>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</si>
  <si>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</si>
  <si>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</si>
  <si>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</si>
  <si>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</si>
  <si>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第二十四届广东省青少年机器人竞赛智慧城市成绩表</t>
  </si>
  <si>
    <t>序号</t>
  </si>
  <si>
    <t>地市</t>
  </si>
  <si>
    <t>代表队名称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</si>
  <si>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</si>
  <si>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</si>
  <si>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</si>
  <si>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</si>
  <si>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</si>
  <si>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</si>
  <si>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重量</t>
  </si>
  <si>
    <t>总成绩</t>
  </si>
  <si>
    <t>总用时</t>
  </si>
  <si>
    <t>名次</t>
  </si>
  <si>
    <t>等次</t>
  </si>
  <si>
    <t>深圳市</t>
  </si>
  <si>
    <t>深圳市智慧一队</t>
  </si>
  <si>
    <t>江丰衍 钟圣泽</t>
  </si>
  <si>
    <t>亓  闻 张志聪</t>
  </si>
  <si>
    <t>一等</t>
  </si>
  <si>
    <t>江门市</t>
  </si>
  <si>
    <t>江门市新会区大鳌镇特沙小学</t>
  </si>
  <si>
    <t>梁梓皓 王品杰</t>
  </si>
  <si>
    <t>李剑锋 何志杰</t>
  </si>
  <si>
    <t>佛山市</t>
  </si>
  <si>
    <t>狮小超越队</t>
  </si>
  <si>
    <t>誉伟杰 贺智炜</t>
  </si>
  <si>
    <t>唐燕萍 贾银锋</t>
  </si>
  <si>
    <t>广州市</t>
  </si>
  <si>
    <t>慧鱼一队</t>
  </si>
  <si>
    <t>刘  睿 陈楚翰</t>
  </si>
  <si>
    <t>麦银凤 蓝玉如</t>
  </si>
  <si>
    <t>慧鱼二队</t>
  </si>
  <si>
    <t>吕馨阳</t>
  </si>
  <si>
    <t>冯春红</t>
  </si>
  <si>
    <t>揭阳市</t>
  </si>
  <si>
    <t>普宁市红领巾实验学校</t>
  </si>
  <si>
    <t>戴典航</t>
  </si>
  <si>
    <t>黄惠敏</t>
  </si>
  <si>
    <t>中山市</t>
  </si>
  <si>
    <t>智慧城市勇者队</t>
  </si>
  <si>
    <t>李骏博 郑东宇</t>
  </si>
  <si>
    <t>陈晓艺 罗柳儿</t>
  </si>
  <si>
    <t>清远市</t>
  </si>
  <si>
    <t>智慧城市超越队</t>
  </si>
  <si>
    <t>费铵妮 吴玥儿</t>
  </si>
  <si>
    <t>袁焕金 曾榕清</t>
  </si>
  <si>
    <t>汕头市</t>
  </si>
  <si>
    <t>汕头市东厦小学一队</t>
  </si>
  <si>
    <t>胡一驰 肖可瀚</t>
  </si>
  <si>
    <t>陈卓琪</t>
  </si>
  <si>
    <t>二等</t>
  </si>
  <si>
    <t>肇庆市</t>
  </si>
  <si>
    <t>四会市碧海湾学校</t>
  </si>
  <si>
    <t>吴贻茹 吴贻诺</t>
  </si>
  <si>
    <t>罗炜杰</t>
  </si>
  <si>
    <t>曹三逸宁队</t>
  </si>
  <si>
    <t>欧阳逸桦 朱致宁</t>
  </si>
  <si>
    <t>刘建国</t>
  </si>
  <si>
    <t>慧鱼三队</t>
  </si>
  <si>
    <t>易振龙 余文昊</t>
  </si>
  <si>
    <t>王翠柳 孔  健</t>
  </si>
  <si>
    <t>中山市石岐体育路学校</t>
  </si>
  <si>
    <t>欧阳玮骏 贺熙岚</t>
  </si>
  <si>
    <t>何修瀚</t>
  </si>
  <si>
    <t>中附明星</t>
  </si>
  <si>
    <t>刘城诚 唐旭炎</t>
  </si>
  <si>
    <t xml:space="preserve">马均克 </t>
  </si>
  <si>
    <t>东莞市</t>
  </si>
  <si>
    <t>六小 智慧城市1队</t>
  </si>
  <si>
    <t>杨张航 王梓龙</t>
  </si>
  <si>
    <t>江妙兰 刘学文</t>
  </si>
  <si>
    <t>慧鱼四队</t>
  </si>
  <si>
    <t>刘柏炜 张志轩</t>
  </si>
  <si>
    <t>博爱宇俊队</t>
  </si>
  <si>
    <t>张宇泽 卢俊宏</t>
  </si>
  <si>
    <t>李清松</t>
  </si>
  <si>
    <t>爱在松湖一小-造梦者队</t>
  </si>
  <si>
    <t>舒彦杰 申子健</t>
  </si>
  <si>
    <t>刘  琼 王新乐</t>
  </si>
  <si>
    <t>尚雅智慧城市1队</t>
  </si>
  <si>
    <t>郑皓仁 黄昊恩</t>
  </si>
  <si>
    <t>李桂鸿 温晓雪</t>
  </si>
  <si>
    <t>揭阳榕城区实验学校</t>
  </si>
  <si>
    <t>徐烁凯 林扬航</t>
  </si>
  <si>
    <t>林乐清</t>
  </si>
  <si>
    <t>中山市光正实验学校</t>
  </si>
  <si>
    <t>王禹皓 黄俊浩</t>
  </si>
  <si>
    <t>张  敏</t>
  </si>
  <si>
    <t>汕头市外马路第三小学战队</t>
  </si>
  <si>
    <t>黄玥嘉 刘家焕</t>
  </si>
  <si>
    <t>李丰标</t>
  </si>
  <si>
    <t>汕头市澄海广益小学1队</t>
  </si>
  <si>
    <t>陈堃越 陈堃野</t>
  </si>
  <si>
    <t>杨俊彬 王雅虹</t>
  </si>
  <si>
    <t>华附清远高新队</t>
  </si>
  <si>
    <t>蒲铭豪 向梓允</t>
  </si>
  <si>
    <t>吴国山 周嘉茵</t>
  </si>
  <si>
    <t>协同之星</t>
  </si>
  <si>
    <t>李璟天 黄烁垌</t>
  </si>
  <si>
    <t>沈东生</t>
  </si>
  <si>
    <t>汕头市外马路第三小学与金龙小学联队</t>
  </si>
  <si>
    <t>陈桓烁 陈佳填</t>
  </si>
  <si>
    <t>珠海市</t>
  </si>
  <si>
    <t>珠海莲之队3队</t>
  </si>
  <si>
    <t>莫基敏 卢泽瑞</t>
  </si>
  <si>
    <t>范晓玥 毛雅楠</t>
  </si>
  <si>
    <t>三等</t>
  </si>
  <si>
    <t>中山市石岐实验小学智慧城市一队</t>
  </si>
  <si>
    <t>杨礼治 周  昊</t>
  </si>
  <si>
    <t>陈彩凤</t>
  </si>
  <si>
    <t>梅州市</t>
  </si>
  <si>
    <t>哆梦智汇团</t>
  </si>
  <si>
    <t>钟晟鑫 古泽尚</t>
  </si>
  <si>
    <t>吕远泰 陈加淦</t>
  </si>
  <si>
    <t>麦乐鸡</t>
  </si>
  <si>
    <t>符玮讯 陈欣宇</t>
  </si>
  <si>
    <t>伏宝桐 刘  新</t>
  </si>
  <si>
    <t>阳江市</t>
  </si>
  <si>
    <t>AKS战队</t>
  </si>
  <si>
    <t>陈泽楠 袁康硕</t>
  </si>
  <si>
    <t>朱家震 李桂强</t>
  </si>
  <si>
    <t>智慧城市乘风破浪队</t>
  </si>
  <si>
    <t>潘熙谨 陈瀚钊</t>
  </si>
  <si>
    <t>潘秀红 练达辉</t>
  </si>
  <si>
    <t>卓雅一队</t>
  </si>
  <si>
    <t>黄钜峰 杨凯文</t>
  </si>
  <si>
    <t>张  林 庾沛均</t>
  </si>
  <si>
    <t>汕头市东厦小学二队</t>
  </si>
  <si>
    <t>叶镓睿 郑宗睿</t>
  </si>
  <si>
    <t>江门市青少宫二队</t>
  </si>
  <si>
    <t>史嘉嘉 许栢豪</t>
  </si>
  <si>
    <t>余凯晟</t>
  </si>
  <si>
    <t>报国一队</t>
  </si>
  <si>
    <t>林子铭 蔡堉铠</t>
  </si>
  <si>
    <t>林俊宇 陈瑞颖</t>
  </si>
  <si>
    <t>六小 智慧城市2队</t>
  </si>
  <si>
    <t>伍家谦 梁安琪</t>
  </si>
  <si>
    <t>袁立敏 彭志华</t>
  </si>
  <si>
    <t>合创智行队</t>
  </si>
  <si>
    <t>张城恺 李多喜</t>
  </si>
  <si>
    <t>李兴杰</t>
  </si>
  <si>
    <t>新中二外二队</t>
  </si>
  <si>
    <t>胡浩宇 王离哲</t>
  </si>
  <si>
    <t>吴宇飞 黄书敏</t>
  </si>
  <si>
    <t>普宁国贤学校</t>
  </si>
  <si>
    <t>陈冠烨</t>
  </si>
  <si>
    <t>庄育韩</t>
  </si>
  <si>
    <t>珠海莲之队2队</t>
  </si>
  <si>
    <t>陈  曦 伍奕峰</t>
  </si>
  <si>
    <t>珠海莲之队4队</t>
  </si>
  <si>
    <t>方英锐 刘雨卿</t>
  </si>
  <si>
    <t>双良战队</t>
  </si>
  <si>
    <t>梁锦荣 梁熙文</t>
  </si>
  <si>
    <t>刘小军</t>
  </si>
  <si>
    <t>和美创客队</t>
  </si>
  <si>
    <t>钟胜钰 黎晋东</t>
  </si>
  <si>
    <t>赵艳花 温伟权</t>
  </si>
  <si>
    <t>珠海莲之队1队</t>
  </si>
  <si>
    <t>莫闻博 梁泽宇</t>
  </si>
  <si>
    <t>梅州市实验小学科创队</t>
  </si>
  <si>
    <t>叶泽熙 吴骏鹏</t>
  </si>
  <si>
    <t>李海伶 李艳芳</t>
  </si>
  <si>
    <t>高要区第二中学星科校区代表队</t>
  </si>
  <si>
    <t>林奕毅 林嘉毅</t>
  </si>
  <si>
    <t>陆杰泳</t>
  </si>
  <si>
    <t>乐中一组</t>
  </si>
  <si>
    <t>钟嘉浩 罗泽廷</t>
  </si>
  <si>
    <t>叶文滔 曾志键</t>
  </si>
  <si>
    <t>乐中二组</t>
  </si>
  <si>
    <t>古佑威 汪旭晟</t>
  </si>
  <si>
    <t>朱岚岚 刘嘉琦</t>
  </si>
  <si>
    <t>中山市三鑫学校</t>
  </si>
  <si>
    <t>宁夏俊杰</t>
  </si>
  <si>
    <t>叶云龙</t>
  </si>
  <si>
    <t>新中实验智慧二队</t>
  </si>
  <si>
    <t>缪嘉浩 姚明灏</t>
  </si>
  <si>
    <t>江悦呈 郑泽崇</t>
  </si>
  <si>
    <t>新中实验智慧三队</t>
  </si>
  <si>
    <t>李宇航 叶承霖</t>
  </si>
  <si>
    <t>周小江 江悦呈</t>
  </si>
  <si>
    <t>引领未来</t>
  </si>
  <si>
    <t>杨永业 黄可馨</t>
  </si>
  <si>
    <r>
      <t>段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丹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唐士鸿</t>
    </r>
  </si>
  <si>
    <t>华附普宁智慧城市1队</t>
  </si>
  <si>
    <t>陈昊翼 李耿宇</t>
  </si>
  <si>
    <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许加欣</t>
    </r>
  </si>
  <si>
    <t>云浮市</t>
  </si>
  <si>
    <t>黄中CP1</t>
  </si>
  <si>
    <t>梁玮立 梁轩铭</t>
  </si>
  <si>
    <r>
      <t>方帅东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冰</t>
    </r>
  </si>
  <si>
    <t>金角银角</t>
  </si>
  <si>
    <t>张迈文 齐天皓</t>
  </si>
  <si>
    <t>唐小三 秦宇飞</t>
  </si>
  <si>
    <t>新中实验智慧一队</t>
  </si>
  <si>
    <t>李梓林 范奕晗</t>
  </si>
  <si>
    <t>周小江 郑泽崇</t>
  </si>
  <si>
    <t>中山梅沙实验学校智慧城市队</t>
  </si>
  <si>
    <t>陈  涛 丘俊棋</t>
  </si>
  <si>
    <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江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曼</t>
    </r>
  </si>
  <si>
    <t>汕头市第九中学与金南实验中学联队</t>
  </si>
  <si>
    <t>沈煜棋 汤谨豪</t>
  </si>
  <si>
    <t>林宋武</t>
  </si>
  <si>
    <t>普宁市二实学校</t>
  </si>
  <si>
    <t>余垚光 柯皓予</t>
  </si>
  <si>
    <t>潘友元</t>
  </si>
  <si>
    <t>雨后天晴</t>
  </si>
  <si>
    <t>黄立博 杨嘉铭</t>
  </si>
  <si>
    <r>
      <t>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影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章常茂</t>
    </r>
  </si>
  <si>
    <t>珠海七中奇点机器人</t>
  </si>
  <si>
    <t>秦康华 邵卉然</t>
  </si>
  <si>
    <t>梁健松 曹良政</t>
  </si>
  <si>
    <t>惠州市</t>
  </si>
  <si>
    <t>一中智慧队</t>
  </si>
  <si>
    <t>胡正浩 吴宇森</t>
  </si>
  <si>
    <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王舒逸</t>
    </r>
  </si>
  <si>
    <t>智聪队</t>
  </si>
  <si>
    <t>凌志浩 张孝全</t>
  </si>
  <si>
    <t>杨慧敏 周林芳</t>
  </si>
  <si>
    <t>新中二外三队</t>
  </si>
  <si>
    <t>王  溪 曾艺歌</t>
  </si>
  <si>
    <t>吴宇飞 吴燕纯</t>
  </si>
  <si>
    <t>樟中科创2队</t>
  </si>
  <si>
    <t>何文韬 田琦阳</t>
  </si>
  <si>
    <t>黄浩民 黄俊杰</t>
  </si>
  <si>
    <t>肇庆吴大猷1队</t>
  </si>
  <si>
    <t>曾广宇 曾智平</t>
  </si>
  <si>
    <t>梁峻华 薛文凯</t>
  </si>
  <si>
    <t>文汇一队</t>
  </si>
  <si>
    <t>田永满</t>
  </si>
  <si>
    <t>林运桂</t>
  </si>
  <si>
    <t>黄中CP0</t>
  </si>
  <si>
    <t>曾宪炜 梁文劲</t>
  </si>
  <si>
    <r>
      <t>方帅东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丹</t>
    </r>
  </si>
  <si>
    <t>樟中科创1队</t>
  </si>
  <si>
    <t>邱柏恺 李瀚涛</t>
  </si>
  <si>
    <t>陈春景</t>
  </si>
  <si>
    <t>小虎队</t>
  </si>
  <si>
    <t>林可嘉 郭文熙</t>
  </si>
  <si>
    <t>郑志华 黄炳军</t>
  </si>
  <si>
    <t>惠东中学初中部一队</t>
  </si>
  <si>
    <t>陈盛涛 张晋瑜</t>
  </si>
  <si>
    <t>张宇红 施慧香</t>
  </si>
  <si>
    <t>普宁市第二中学1队</t>
  </si>
  <si>
    <t>陈欣贝 欧思含</t>
  </si>
  <si>
    <t>黄海霞</t>
  </si>
  <si>
    <t>德庆县德庆中学龙竞信息科技社团</t>
  </si>
  <si>
    <t>陆悦琅 卓恩谅</t>
  </si>
  <si>
    <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淑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梁晓丽</t>
    </r>
  </si>
  <si>
    <t>珠海市夏湾中学1队</t>
  </si>
  <si>
    <t>尹梓瑞 张晟中</t>
  </si>
  <si>
    <t>吴泽铭 吴泽铭</t>
  </si>
  <si>
    <t>梦想航行队</t>
  </si>
  <si>
    <t>阮梁航 麦雨萌</t>
  </si>
  <si>
    <t>梁晖英 陈雯峭</t>
  </si>
  <si>
    <t>大泽初级中学智慧1队</t>
  </si>
  <si>
    <t>付祉俊 张睿泽</t>
  </si>
  <si>
    <t>林羽盘 钟汝锹</t>
  </si>
  <si>
    <t>珠海市夏湾中学2队</t>
  </si>
  <si>
    <t>陈  恺 李锐浩</t>
  </si>
  <si>
    <t>吴泽铭</t>
  </si>
  <si>
    <t>CY组合</t>
  </si>
  <si>
    <t>陈劲乐 叶文俊</t>
  </si>
  <si>
    <t>罗华栋</t>
  </si>
  <si>
    <t>大泽初级中学智慧2队</t>
  </si>
  <si>
    <t>陈  杰 区志杰</t>
  </si>
  <si>
    <t>钟汝锹 林羽盘</t>
  </si>
  <si>
    <t>琢玉</t>
  </si>
  <si>
    <t>彭家炜 邓雅程</t>
  </si>
  <si>
    <r>
      <t>段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丹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唐小三</t>
    </r>
  </si>
  <si>
    <t>探索者队</t>
  </si>
  <si>
    <t>邱俊宇 彭锦媚</t>
  </si>
  <si>
    <t>廖锐光 李万柏</t>
  </si>
  <si>
    <t>茂名市</t>
  </si>
  <si>
    <t>信宜市信宜中学</t>
  </si>
  <si>
    <t>陈  林 甘顺铭</t>
  </si>
  <si>
    <r>
      <t>巫金凤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艺</t>
    </r>
  </si>
  <si>
    <t>普宁二中队</t>
  </si>
  <si>
    <t>杨森钿 陈旭群</t>
  </si>
  <si>
    <t>黄水燕</t>
  </si>
  <si>
    <t>中山市华侨中学1队</t>
  </si>
  <si>
    <t>方  正 周济程</t>
  </si>
  <si>
    <r>
      <t>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正</t>
    </r>
  </si>
  <si>
    <t>中山中专智慧城市一队</t>
  </si>
  <si>
    <t>李柏源 汤子欣</t>
  </si>
  <si>
    <t>林国鸿 张文瓈</t>
  </si>
  <si>
    <t>广州市玉岩中学2队</t>
  </si>
  <si>
    <t>杨子睿 郑  哲</t>
  </si>
  <si>
    <t>珠海市第二中学1队</t>
  </si>
  <si>
    <t>王锦林 周子淇</t>
  </si>
  <si>
    <t>甘建城 李冰欣</t>
  </si>
  <si>
    <t>岭中机器人队</t>
  </si>
  <si>
    <t>张子浩 叶柱成</t>
  </si>
  <si>
    <t>杨飞燕 张海建</t>
  </si>
  <si>
    <t>黄中CP2</t>
  </si>
  <si>
    <t>屈晏丞 叶滨宇</t>
  </si>
  <si>
    <t>方帅东</t>
  </si>
  <si>
    <t>一元二次方程组</t>
  </si>
  <si>
    <t>邓美婷 杜  威</t>
  </si>
  <si>
    <t>廖锐光 谢永财</t>
  </si>
  <si>
    <t>揭阳第一中学榕江新城学校1队</t>
  </si>
  <si>
    <t>林  铮 蔡钊博</t>
  </si>
  <si>
    <t>谢小英 严泽宁</t>
  </si>
  <si>
    <t>崇实</t>
  </si>
  <si>
    <t>胡一诺 龚柳慧</t>
  </si>
  <si>
    <t>朱代超</t>
  </si>
  <si>
    <t>中山市建斌职业技术学校智慧城市参赛队</t>
  </si>
  <si>
    <t>梁艺安 麦伟基</t>
  </si>
  <si>
    <t>肖慧力</t>
  </si>
  <si>
    <t>求真</t>
  </si>
  <si>
    <t>刘昊楠 苗一诺</t>
  </si>
  <si>
    <t>超创队</t>
  </si>
  <si>
    <t>刘家鹏 唐  鹏</t>
  </si>
  <si>
    <t>崔雪华</t>
  </si>
  <si>
    <t>湛江市</t>
  </si>
  <si>
    <t>湛江四中智慧城市都狠队</t>
  </si>
  <si>
    <t>陈碧瑶 倪文倩</t>
  </si>
  <si>
    <t>郑明斌 林碧英</t>
  </si>
  <si>
    <t>孤电子队</t>
  </si>
  <si>
    <t>苏  炜 聂钧盛</t>
  </si>
  <si>
    <r>
      <t>廖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艺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宋能福</t>
    </r>
  </si>
  <si>
    <t>智慧队</t>
  </si>
  <si>
    <t>阮廷玉 罗铭柳</t>
  </si>
  <si>
    <t>杨慧敏 蔡盛桦</t>
  </si>
  <si>
    <t>智勇队</t>
  </si>
  <si>
    <t>龙  俭 蓝  阳</t>
  </si>
  <si>
    <t>菜就多练队</t>
  </si>
  <si>
    <t>刘宇航 黄俊林</t>
  </si>
  <si>
    <t>莫元东 胡云峰</t>
  </si>
  <si>
    <t>湛江四中智慧城市队</t>
  </si>
  <si>
    <t>许钟钦 吴培坤</t>
  </si>
  <si>
    <t>龙其忠 黄锦丽</t>
  </si>
  <si>
    <t>肇庆市碧海湾学校</t>
  </si>
  <si>
    <t>林满顺 陆宏宇</t>
  </si>
  <si>
    <t>廖艺 宋能福</t>
  </si>
  <si>
    <t>碱基互补配队</t>
  </si>
  <si>
    <t>徐嘉淇 陈星宇</t>
  </si>
  <si>
    <t>湛江经济技术开发区第一中学2队</t>
  </si>
  <si>
    <t>黄家莹 陈小昕</t>
  </si>
  <si>
    <t>梁燕文 蓝燕</t>
  </si>
  <si>
    <t>蒙的全队</t>
  </si>
  <si>
    <t>关恩皓 潘子康</t>
  </si>
  <si>
    <t>苏子东 杨丽华</t>
  </si>
  <si>
    <t>湛江经济技术开发区第一中学1队</t>
  </si>
  <si>
    <t>辛梓杰 曾若彬</t>
  </si>
  <si>
    <t>袁伟才 陈洪珍</t>
  </si>
  <si>
    <t>珠海市第二中学3队</t>
  </si>
  <si>
    <t>李浩翔 谢羲文</t>
  </si>
  <si>
    <r>
      <t>甘建城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晨</t>
    </r>
  </si>
  <si>
    <t>霹雳火</t>
  </si>
  <si>
    <t>黄智翔 邓烨婷</t>
  </si>
  <si>
    <t>刘华津 潘楚文</t>
  </si>
  <si>
    <t>阳江市第一中学科创队-铭派叫地主</t>
  </si>
  <si>
    <t>司徒晋铭 林锦派</t>
  </si>
  <si>
    <t>黄政钧 刘家华</t>
  </si>
  <si>
    <t>珠海市第二中学2队</t>
  </si>
  <si>
    <t>荆诗贻 邹璨然</t>
  </si>
  <si>
    <t>甘建城 单志文</t>
  </si>
  <si>
    <t>快乐队</t>
  </si>
  <si>
    <t>彭皓源 刘世滔</t>
  </si>
  <si>
    <t>苏子东 李小龙</t>
  </si>
  <si>
    <t>珠海市第二中学4队</t>
  </si>
  <si>
    <t>王宇廷 冼绮晴</t>
  </si>
  <si>
    <t>甘建城 蔡俊龙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</si>
</sst>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4"/>
      <name val="宋体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sz val="20"/>
      <name val="Arial"/>
      <charset val="134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zoomScale="70" zoomScaleNormal="70" workbookViewId="0">
      <selection activeCell="I3" sqref="I3"/>
    </sheetView>
  </sheetViews>
  <sheetFormatPr defaultColWidth="9.13333333333333" defaultRowHeight="12.75" outlineLevelCol="2"/>
  <cols>
    <col min="1" max="1" width="13" style="25" customWidth="1"/>
    <col min="2" max="2" width="69.8666666666667" style="43" customWidth="1"/>
    <col min="3" max="3" width="31.6" style="25" customWidth="1"/>
    <col min="4" max="16384" width="9.13333333333333" style="44"/>
  </cols>
  <sheetData>
    <row r="1" s="42" customFormat="1" ht="44.1" customHeight="1" spans="1:3">
      <c r="A1" s="45" t="s">
        <v>0</v>
      </c>
      <c r="B1" s="48" t="s">
        <v>1</v>
      </c>
      <c r="C1" s="46" t="s">
        <v>2</v>
      </c>
    </row>
    <row r="2" s="42" customFormat="1" ht="44.1" customHeight="1" spans="1:3">
      <c r="A2" s="45" t="s">
        <v>3</v>
      </c>
      <c r="B2" s="46" t="s">
        <v>4</v>
      </c>
      <c r="C2" s="46" t="s">
        <v>5</v>
      </c>
    </row>
    <row r="3" s="42" customFormat="1" ht="44.1" customHeight="1" spans="1:3">
      <c r="A3" s="45" t="s">
        <v>6</v>
      </c>
      <c r="B3" s="46" t="s">
        <v>7</v>
      </c>
      <c r="C3" s="46" t="s">
        <v>8</v>
      </c>
    </row>
    <row r="4" s="42" customFormat="1" ht="44.1" customHeight="1" spans="1:3">
      <c r="A4" s="45" t="s">
        <v>9</v>
      </c>
      <c r="B4" s="46" t="s">
        <v>10</v>
      </c>
      <c r="C4" s="46" t="s">
        <v>11</v>
      </c>
    </row>
    <row r="5" s="42" customFormat="1" ht="44.1" customHeight="1" spans="1:3">
      <c r="A5" s="45" t="s">
        <v>12</v>
      </c>
      <c r="B5" s="46" t="s">
        <v>13</v>
      </c>
      <c r="C5" s="46" t="s">
        <v>14</v>
      </c>
    </row>
    <row r="6" s="42" customFormat="1" ht="44.1" customHeight="1" spans="1:3">
      <c r="A6" s="45" t="s">
        <v>15</v>
      </c>
      <c r="B6" s="46" t="s">
        <v>16</v>
      </c>
      <c r="C6" s="46" t="s">
        <v>17</v>
      </c>
    </row>
    <row r="7" s="42" customFormat="1" ht="44.1" customHeight="1" spans="1:3">
      <c r="A7" s="45" t="s">
        <v>18</v>
      </c>
      <c r="B7" s="46" t="s">
        <v>19</v>
      </c>
      <c r="C7" s="46" t="s">
        <v>20</v>
      </c>
    </row>
    <row r="8" s="42" customFormat="1" ht="44.1" customHeight="1" spans="1:3">
      <c r="A8" s="45" t="s">
        <v>21</v>
      </c>
      <c r="B8" s="46" t="s">
        <v>22</v>
      </c>
      <c r="C8" s="46" t="s">
        <v>23</v>
      </c>
    </row>
    <row r="9" s="42" customFormat="1" ht="44.1" customHeight="1" spans="1:3">
      <c r="A9" s="45" t="s">
        <v>24</v>
      </c>
      <c r="B9" s="46" t="s">
        <v>25</v>
      </c>
      <c r="C9" s="46" t="s">
        <v>26</v>
      </c>
    </row>
    <row r="10" s="42" customFormat="1" ht="44.1" customHeight="1" spans="1:3">
      <c r="A10" s="45" t="s">
        <v>27</v>
      </c>
      <c r="B10" s="46" t="s">
        <v>28</v>
      </c>
      <c r="C10" s="46" t="s">
        <v>29</v>
      </c>
    </row>
    <row r="11" s="42" customFormat="1" ht="44.1" customHeight="1" spans="1:3">
      <c r="A11" s="45" t="s">
        <v>30</v>
      </c>
      <c r="B11" s="46" t="s">
        <v>31</v>
      </c>
      <c r="C11" s="46" t="s">
        <v>32</v>
      </c>
    </row>
    <row r="12" s="42" customFormat="1" ht="44.1" customHeight="1" spans="1:3">
      <c r="A12" s="45" t="s">
        <v>33</v>
      </c>
      <c r="B12" s="46" t="s">
        <v>34</v>
      </c>
      <c r="C12" s="46" t="s">
        <v>35</v>
      </c>
    </row>
    <row r="13" s="42" customFormat="1" ht="44.1" customHeight="1" spans="1:3">
      <c r="A13" s="45" t="s">
        <v>36</v>
      </c>
      <c r="B13" s="46" t="s">
        <v>37</v>
      </c>
      <c r="C13" s="46" t="s">
        <v>38</v>
      </c>
    </row>
    <row r="14" ht="44.1" customHeight="1" spans="1:3">
      <c r="A14" s="45" t="s">
        <v>39</v>
      </c>
      <c r="B14" s="47"/>
      <c r="C14" s="6"/>
    </row>
    <row r="15" ht="44.1" customHeight="1" spans="1:3">
      <c r="A15" s="45" t="s">
        <v>40</v>
      </c>
      <c r="B15" s="47"/>
      <c r="C15" s="6"/>
    </row>
    <row r="16" ht="44.1" customHeight="1" spans="1:3">
      <c r="A16" s="45" t="s">
        <v>41</v>
      </c>
      <c r="B16" s="47"/>
      <c r="C16" s="6"/>
    </row>
    <row r="17" ht="44.1" customHeight="1" spans="1:3">
      <c r="A17" s="45" t="s">
        <v>42</v>
      </c>
      <c r="B17" s="47"/>
      <c r="C17" s="6"/>
    </row>
    <row r="18" ht="44.1" customHeight="1" spans="1:3">
      <c r="A18" s="45" t="s">
        <v>43</v>
      </c>
      <c r="B18" s="47"/>
      <c r="C18" s="6"/>
    </row>
    <row r="19" ht="44.1" customHeight="1" spans="1:3">
      <c r="A19" s="45" t="s">
        <v>44</v>
      </c>
      <c r="B19" s="47"/>
      <c r="C19" s="6"/>
    </row>
    <row r="20" ht="44.1" customHeight="1" spans="1:3">
      <c r="A20" s="45" t="s">
        <v>45</v>
      </c>
      <c r="B20" s="47"/>
      <c r="C20" s="6"/>
    </row>
    <row r="21" ht="44.1" customHeight="1" spans="1:3">
      <c r="A21" s="45" t="s">
        <v>46</v>
      </c>
      <c r="B21" s="47"/>
      <c r="C21" s="6"/>
    </row>
    <row r="22" ht="44.1" customHeight="1" spans="1:3">
      <c r="A22" s="45" t="s">
        <v>47</v>
      </c>
      <c r="B22" s="47"/>
      <c r="C22" s="6"/>
    </row>
    <row r="23" ht="44.1" customHeight="1" spans="1:3">
      <c r="A23" s="45" t="s">
        <v>48</v>
      </c>
      <c r="B23" s="47"/>
      <c r="C23" s="6"/>
    </row>
    <row r="24" ht="44.1" customHeight="1" spans="1:3">
      <c r="A24" s="45" t="s">
        <v>49</v>
      </c>
      <c r="B24" s="47"/>
      <c r="C24" s="6"/>
    </row>
    <row r="25" ht="44.1" customHeight="1" spans="1:3">
      <c r="A25" s="45" t="s">
        <v>50</v>
      </c>
      <c r="B25" s="47"/>
      <c r="C25" s="6"/>
    </row>
    <row r="26" ht="44.1" customHeight="1" spans="1:3">
      <c r="A26" s="45" t="s">
        <v>51</v>
      </c>
      <c r="B26" s="47"/>
      <c r="C26" s="6"/>
    </row>
    <row r="27" ht="44.1" customHeight="1" spans="1:3">
      <c r="A27" s="45" t="s">
        <v>52</v>
      </c>
      <c r="B27" s="47"/>
      <c r="C27" s="6"/>
    </row>
    <row r="28" ht="44.1" customHeight="1" spans="1:3">
      <c r="A28" s="45" t="s">
        <v>53</v>
      </c>
      <c r="B28" s="47"/>
      <c r="C28" s="6"/>
    </row>
    <row r="29" ht="44.1" customHeight="1" spans="1:3">
      <c r="A29" s="45" t="s">
        <v>54</v>
      </c>
      <c r="B29" s="47"/>
      <c r="C29" s="6"/>
    </row>
    <row r="30" ht="44.1" customHeight="1" spans="1:3">
      <c r="A30" s="45" t="s">
        <v>55</v>
      </c>
      <c r="B30" s="47"/>
      <c r="C30" s="6"/>
    </row>
    <row r="31" ht="44.1" customHeight="1" spans="1:3">
      <c r="A31" s="45" t="s">
        <v>56</v>
      </c>
      <c r="B31" s="47"/>
      <c r="C31" s="6"/>
    </row>
    <row r="32" ht="44.1" customHeight="1" spans="1:3">
      <c r="A32" s="45" t="s">
        <v>57</v>
      </c>
      <c r="B32" s="47"/>
      <c r="C32" s="6"/>
    </row>
    <row r="33" ht="44.1" customHeight="1" spans="1:3">
      <c r="A33" s="45" t="s">
        <v>58</v>
      </c>
      <c r="B33" s="47"/>
      <c r="C33" s="6"/>
    </row>
    <row r="34" ht="44.1" customHeight="1" spans="1:3">
      <c r="A34" s="45" t="s">
        <v>59</v>
      </c>
      <c r="B34" s="47"/>
      <c r="C34" s="6"/>
    </row>
    <row r="35" ht="44.1" customHeight="1" spans="1:3">
      <c r="A35" s="45" t="s">
        <v>60</v>
      </c>
      <c r="B35" s="47"/>
      <c r="C35" s="6"/>
    </row>
    <row r="36" ht="44.1" customHeight="1" spans="1:3">
      <c r="A36" s="45" t="s">
        <v>61</v>
      </c>
      <c r="B36" s="47"/>
      <c r="C36" s="6"/>
    </row>
    <row r="37" ht="43.15" customHeight="1" spans="1:3">
      <c r="A37" s="45" t="s">
        <v>62</v>
      </c>
      <c r="B37" s="47"/>
      <c r="C37" s="6"/>
    </row>
    <row r="38" ht="43.15" customHeight="1" spans="1:3">
      <c r="A38" s="45" t="s">
        <v>63</v>
      </c>
      <c r="B38" s="47"/>
      <c r="C38" s="6"/>
    </row>
    <row r="39" ht="43.15" customHeight="1" spans="1:3">
      <c r="A39" s="45" t="s">
        <v>64</v>
      </c>
      <c r="B39" s="47"/>
      <c r="C39" s="6"/>
    </row>
    <row r="40" ht="43.15" customHeight="1" spans="1:3">
      <c r="A40" s="45" t="s">
        <v>65</v>
      </c>
      <c r="B40" s="47"/>
      <c r="C40" s="6"/>
    </row>
    <row r="41" ht="43.15" customHeight="1" spans="1:3">
      <c r="A41" s="45" t="s">
        <v>66</v>
      </c>
      <c r="B41" s="47"/>
      <c r="C41" s="6"/>
    </row>
    <row r="42" ht="43.15" customHeight="1" spans="1:3">
      <c r="A42" s="45" t="s">
        <v>67</v>
      </c>
      <c r="B42" s="47"/>
      <c r="C42" s="6"/>
    </row>
    <row r="43" ht="43.15" customHeight="1" spans="1:3">
      <c r="A43" s="45" t="s">
        <v>68</v>
      </c>
      <c r="B43" s="47"/>
      <c r="C43" s="6"/>
    </row>
    <row r="44" ht="43.15" customHeight="1" spans="1:3">
      <c r="A44" s="45" t="s">
        <v>69</v>
      </c>
      <c r="B44" s="47"/>
      <c r="C44" s="6"/>
    </row>
    <row r="45" ht="43.15" customHeight="1" spans="1:3">
      <c r="A45" s="45" t="s">
        <v>70</v>
      </c>
      <c r="B45" s="47"/>
      <c r="C45" s="6"/>
    </row>
    <row r="46" ht="43.15" customHeight="1" spans="1:3">
      <c r="A46" s="45" t="s">
        <v>71</v>
      </c>
      <c r="B46" s="47"/>
      <c r="C46" s="6"/>
    </row>
  </sheetData>
  <printOptions horizontalCentered="1"/>
  <pageMargins left="0.393700787401575" right="0.393700787401575" top="0.393700787401575" bottom="0.393700787401575" header="0" footer="0.511811023622047"/>
  <pageSetup paperSize="9" scale="12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zoomScale="85" zoomScaleNormal="85" topLeftCell="A31" workbookViewId="0">
      <selection activeCell="C28" sqref="C28"/>
    </sheetView>
  </sheetViews>
  <sheetFormatPr defaultColWidth="9.13333333333333" defaultRowHeight="12.75"/>
  <cols>
    <col min="1" max="1" width="10.0857142857143" style="25" customWidth="1"/>
    <col min="2" max="2" width="12.7619047619048" style="25" customWidth="1"/>
    <col min="3" max="3" width="36.1333333333333" style="26" customWidth="1"/>
    <col min="4" max="4" width="19.8571428571429" style="25" customWidth="1"/>
    <col min="5" max="5" width="17.2857142857143" style="26" customWidth="1"/>
    <col min="6" max="6" width="9.13333333333333" style="25"/>
    <col min="7" max="7" width="11.2857142857143" style="25"/>
    <col min="8" max="8" width="9.13333333333333" style="25"/>
    <col min="9" max="9" width="11.2857142857143" style="25"/>
    <col min="10" max="11" width="9.13333333333333" style="25"/>
    <col min="12" max="12" width="11.2857142857143" style="25"/>
    <col min="13" max="14" width="9.13333333333333" style="25" customWidth="1"/>
    <col min="15" max="220" width="9.13333333333333" style="25"/>
    <col min="221" max="221" width="17.8666666666667" style="25" customWidth="1"/>
    <col min="222" max="222" width="48" style="25" customWidth="1"/>
    <col min="223" max="223" width="15.7238095238095" style="25" customWidth="1"/>
    <col min="224" max="224" width="13.7238095238095" style="25" customWidth="1"/>
    <col min="225" max="476" width="9.13333333333333" style="25"/>
    <col min="477" max="477" width="17.8666666666667" style="25" customWidth="1"/>
    <col min="478" max="478" width="48" style="25" customWidth="1"/>
    <col min="479" max="479" width="15.7238095238095" style="25" customWidth="1"/>
    <col min="480" max="480" width="13.7238095238095" style="25" customWidth="1"/>
    <col min="481" max="732" width="9.13333333333333" style="25"/>
    <col min="733" max="733" width="17.8666666666667" style="25" customWidth="1"/>
    <col min="734" max="734" width="48" style="25" customWidth="1"/>
    <col min="735" max="735" width="15.7238095238095" style="25" customWidth="1"/>
    <col min="736" max="736" width="13.7238095238095" style="25" customWidth="1"/>
    <col min="737" max="988" width="9.13333333333333" style="25"/>
    <col min="989" max="989" width="17.8666666666667" style="25" customWidth="1"/>
    <col min="990" max="990" width="48" style="25" customWidth="1"/>
    <col min="991" max="991" width="15.7238095238095" style="25" customWidth="1"/>
    <col min="992" max="992" width="13.7238095238095" style="25" customWidth="1"/>
    <col min="993" max="1244" width="9.13333333333333" style="25"/>
    <col min="1245" max="1245" width="17.8666666666667" style="25" customWidth="1"/>
    <col min="1246" max="1246" width="48" style="25" customWidth="1"/>
    <col min="1247" max="1247" width="15.7238095238095" style="25" customWidth="1"/>
    <col min="1248" max="1248" width="13.7238095238095" style="25" customWidth="1"/>
    <col min="1249" max="1500" width="9.13333333333333" style="25"/>
    <col min="1501" max="1501" width="17.8666666666667" style="25" customWidth="1"/>
    <col min="1502" max="1502" width="48" style="25" customWidth="1"/>
    <col min="1503" max="1503" width="15.7238095238095" style="25" customWidth="1"/>
    <col min="1504" max="1504" width="13.7238095238095" style="25" customWidth="1"/>
    <col min="1505" max="1756" width="9.13333333333333" style="25"/>
    <col min="1757" max="1757" width="17.8666666666667" style="25" customWidth="1"/>
    <col min="1758" max="1758" width="48" style="25" customWidth="1"/>
    <col min="1759" max="1759" width="15.7238095238095" style="25" customWidth="1"/>
    <col min="1760" max="1760" width="13.7238095238095" style="25" customWidth="1"/>
    <col min="1761" max="2012" width="9.13333333333333" style="25"/>
    <col min="2013" max="2013" width="17.8666666666667" style="25" customWidth="1"/>
    <col min="2014" max="2014" width="48" style="25" customWidth="1"/>
    <col min="2015" max="2015" width="15.7238095238095" style="25" customWidth="1"/>
    <col min="2016" max="2016" width="13.7238095238095" style="25" customWidth="1"/>
    <col min="2017" max="2268" width="9.13333333333333" style="25"/>
    <col min="2269" max="2269" width="17.8666666666667" style="25" customWidth="1"/>
    <col min="2270" max="2270" width="48" style="25" customWidth="1"/>
    <col min="2271" max="2271" width="15.7238095238095" style="25" customWidth="1"/>
    <col min="2272" max="2272" width="13.7238095238095" style="25" customWidth="1"/>
    <col min="2273" max="2524" width="9.13333333333333" style="25"/>
    <col min="2525" max="2525" width="17.8666666666667" style="25" customWidth="1"/>
    <col min="2526" max="2526" width="48" style="25" customWidth="1"/>
    <col min="2527" max="2527" width="15.7238095238095" style="25" customWidth="1"/>
    <col min="2528" max="2528" width="13.7238095238095" style="25" customWidth="1"/>
    <col min="2529" max="2780" width="9.13333333333333" style="25"/>
    <col min="2781" max="2781" width="17.8666666666667" style="25" customWidth="1"/>
    <col min="2782" max="2782" width="48" style="25" customWidth="1"/>
    <col min="2783" max="2783" width="15.7238095238095" style="25" customWidth="1"/>
    <col min="2784" max="2784" width="13.7238095238095" style="25" customWidth="1"/>
    <col min="2785" max="3036" width="9.13333333333333" style="25"/>
    <col min="3037" max="3037" width="17.8666666666667" style="25" customWidth="1"/>
    <col min="3038" max="3038" width="48" style="25" customWidth="1"/>
    <col min="3039" max="3039" width="15.7238095238095" style="25" customWidth="1"/>
    <col min="3040" max="3040" width="13.7238095238095" style="25" customWidth="1"/>
    <col min="3041" max="3292" width="9.13333333333333" style="25"/>
    <col min="3293" max="3293" width="17.8666666666667" style="25" customWidth="1"/>
    <col min="3294" max="3294" width="48" style="25" customWidth="1"/>
    <col min="3295" max="3295" width="15.7238095238095" style="25" customWidth="1"/>
    <col min="3296" max="3296" width="13.7238095238095" style="25" customWidth="1"/>
    <col min="3297" max="3548" width="9.13333333333333" style="25"/>
    <col min="3549" max="3549" width="17.8666666666667" style="25" customWidth="1"/>
    <col min="3550" max="3550" width="48" style="25" customWidth="1"/>
    <col min="3551" max="3551" width="15.7238095238095" style="25" customWidth="1"/>
    <col min="3552" max="3552" width="13.7238095238095" style="25" customWidth="1"/>
    <col min="3553" max="3804" width="9.13333333333333" style="25"/>
    <col min="3805" max="3805" width="17.8666666666667" style="25" customWidth="1"/>
    <col min="3806" max="3806" width="48" style="25" customWidth="1"/>
    <col min="3807" max="3807" width="15.7238095238095" style="25" customWidth="1"/>
    <col min="3808" max="3808" width="13.7238095238095" style="25" customWidth="1"/>
    <col min="3809" max="4060" width="9.13333333333333" style="25"/>
    <col min="4061" max="4061" width="17.8666666666667" style="25" customWidth="1"/>
    <col min="4062" max="4062" width="48" style="25" customWidth="1"/>
    <col min="4063" max="4063" width="15.7238095238095" style="25" customWidth="1"/>
    <col min="4064" max="4064" width="13.7238095238095" style="25" customWidth="1"/>
    <col min="4065" max="4316" width="9.13333333333333" style="25"/>
    <col min="4317" max="4317" width="17.8666666666667" style="25" customWidth="1"/>
    <col min="4318" max="4318" width="48" style="25" customWidth="1"/>
    <col min="4319" max="4319" width="15.7238095238095" style="25" customWidth="1"/>
    <col min="4320" max="4320" width="13.7238095238095" style="25" customWidth="1"/>
    <col min="4321" max="4572" width="9.13333333333333" style="25"/>
    <col min="4573" max="4573" width="17.8666666666667" style="25" customWidth="1"/>
    <col min="4574" max="4574" width="48" style="25" customWidth="1"/>
    <col min="4575" max="4575" width="15.7238095238095" style="25" customWidth="1"/>
    <col min="4576" max="4576" width="13.7238095238095" style="25" customWidth="1"/>
    <col min="4577" max="4828" width="9.13333333333333" style="25"/>
    <col min="4829" max="4829" width="17.8666666666667" style="25" customWidth="1"/>
    <col min="4830" max="4830" width="48" style="25" customWidth="1"/>
    <col min="4831" max="4831" width="15.7238095238095" style="25" customWidth="1"/>
    <col min="4832" max="4832" width="13.7238095238095" style="25" customWidth="1"/>
    <col min="4833" max="5084" width="9.13333333333333" style="25"/>
    <col min="5085" max="5085" width="17.8666666666667" style="25" customWidth="1"/>
    <col min="5086" max="5086" width="48" style="25" customWidth="1"/>
    <col min="5087" max="5087" width="15.7238095238095" style="25" customWidth="1"/>
    <col min="5088" max="5088" width="13.7238095238095" style="25" customWidth="1"/>
    <col min="5089" max="5340" width="9.13333333333333" style="25"/>
    <col min="5341" max="5341" width="17.8666666666667" style="25" customWidth="1"/>
    <col min="5342" max="5342" width="48" style="25" customWidth="1"/>
    <col min="5343" max="5343" width="15.7238095238095" style="25" customWidth="1"/>
    <col min="5344" max="5344" width="13.7238095238095" style="25" customWidth="1"/>
    <col min="5345" max="5596" width="9.13333333333333" style="25"/>
    <col min="5597" max="5597" width="17.8666666666667" style="25" customWidth="1"/>
    <col min="5598" max="5598" width="48" style="25" customWidth="1"/>
    <col min="5599" max="5599" width="15.7238095238095" style="25" customWidth="1"/>
    <col min="5600" max="5600" width="13.7238095238095" style="25" customWidth="1"/>
    <col min="5601" max="5852" width="9.13333333333333" style="25"/>
    <col min="5853" max="5853" width="17.8666666666667" style="25" customWidth="1"/>
    <col min="5854" max="5854" width="48" style="25" customWidth="1"/>
    <col min="5855" max="5855" width="15.7238095238095" style="25" customWidth="1"/>
    <col min="5856" max="5856" width="13.7238095238095" style="25" customWidth="1"/>
    <col min="5857" max="6108" width="9.13333333333333" style="25"/>
    <col min="6109" max="6109" width="17.8666666666667" style="25" customWidth="1"/>
    <col min="6110" max="6110" width="48" style="25" customWidth="1"/>
    <col min="6111" max="6111" width="15.7238095238095" style="25" customWidth="1"/>
    <col min="6112" max="6112" width="13.7238095238095" style="25" customWidth="1"/>
    <col min="6113" max="6364" width="9.13333333333333" style="25"/>
    <col min="6365" max="6365" width="17.8666666666667" style="25" customWidth="1"/>
    <col min="6366" max="6366" width="48" style="25" customWidth="1"/>
    <col min="6367" max="6367" width="15.7238095238095" style="25" customWidth="1"/>
    <col min="6368" max="6368" width="13.7238095238095" style="25" customWidth="1"/>
    <col min="6369" max="6620" width="9.13333333333333" style="25"/>
    <col min="6621" max="6621" width="17.8666666666667" style="25" customWidth="1"/>
    <col min="6622" max="6622" width="48" style="25" customWidth="1"/>
    <col min="6623" max="6623" width="15.7238095238095" style="25" customWidth="1"/>
    <col min="6624" max="6624" width="13.7238095238095" style="25" customWidth="1"/>
    <col min="6625" max="6876" width="9.13333333333333" style="25"/>
    <col min="6877" max="6877" width="17.8666666666667" style="25" customWidth="1"/>
    <col min="6878" max="6878" width="48" style="25" customWidth="1"/>
    <col min="6879" max="6879" width="15.7238095238095" style="25" customWidth="1"/>
    <col min="6880" max="6880" width="13.7238095238095" style="25" customWidth="1"/>
    <col min="6881" max="7132" width="9.13333333333333" style="25"/>
    <col min="7133" max="7133" width="17.8666666666667" style="25" customWidth="1"/>
    <col min="7134" max="7134" width="48" style="25" customWidth="1"/>
    <col min="7135" max="7135" width="15.7238095238095" style="25" customWidth="1"/>
    <col min="7136" max="7136" width="13.7238095238095" style="25" customWidth="1"/>
    <col min="7137" max="7388" width="9.13333333333333" style="25"/>
    <col min="7389" max="7389" width="17.8666666666667" style="25" customWidth="1"/>
    <col min="7390" max="7390" width="48" style="25" customWidth="1"/>
    <col min="7391" max="7391" width="15.7238095238095" style="25" customWidth="1"/>
    <col min="7392" max="7392" width="13.7238095238095" style="25" customWidth="1"/>
    <col min="7393" max="7644" width="9.13333333333333" style="25"/>
    <col min="7645" max="7645" width="17.8666666666667" style="25" customWidth="1"/>
    <col min="7646" max="7646" width="48" style="25" customWidth="1"/>
    <col min="7647" max="7647" width="15.7238095238095" style="25" customWidth="1"/>
    <col min="7648" max="7648" width="13.7238095238095" style="25" customWidth="1"/>
    <col min="7649" max="7900" width="9.13333333333333" style="25"/>
    <col min="7901" max="7901" width="17.8666666666667" style="25" customWidth="1"/>
    <col min="7902" max="7902" width="48" style="25" customWidth="1"/>
    <col min="7903" max="7903" width="15.7238095238095" style="25" customWidth="1"/>
    <col min="7904" max="7904" width="13.7238095238095" style="25" customWidth="1"/>
    <col min="7905" max="8156" width="9.13333333333333" style="25"/>
    <col min="8157" max="8157" width="17.8666666666667" style="25" customWidth="1"/>
    <col min="8158" max="8158" width="48" style="25" customWidth="1"/>
    <col min="8159" max="8159" width="15.7238095238095" style="25" customWidth="1"/>
    <col min="8160" max="8160" width="13.7238095238095" style="25" customWidth="1"/>
    <col min="8161" max="8412" width="9.13333333333333" style="25"/>
    <col min="8413" max="8413" width="17.8666666666667" style="25" customWidth="1"/>
    <col min="8414" max="8414" width="48" style="25" customWidth="1"/>
    <col min="8415" max="8415" width="15.7238095238095" style="25" customWidth="1"/>
    <col min="8416" max="8416" width="13.7238095238095" style="25" customWidth="1"/>
    <col min="8417" max="8668" width="9.13333333333333" style="25"/>
    <col min="8669" max="8669" width="17.8666666666667" style="25" customWidth="1"/>
    <col min="8670" max="8670" width="48" style="25" customWidth="1"/>
    <col min="8671" max="8671" width="15.7238095238095" style="25" customWidth="1"/>
    <col min="8672" max="8672" width="13.7238095238095" style="25" customWidth="1"/>
    <col min="8673" max="8924" width="9.13333333333333" style="25"/>
    <col min="8925" max="8925" width="17.8666666666667" style="25" customWidth="1"/>
    <col min="8926" max="8926" width="48" style="25" customWidth="1"/>
    <col min="8927" max="8927" width="15.7238095238095" style="25" customWidth="1"/>
    <col min="8928" max="8928" width="13.7238095238095" style="25" customWidth="1"/>
    <col min="8929" max="9180" width="9.13333333333333" style="25"/>
    <col min="9181" max="9181" width="17.8666666666667" style="25" customWidth="1"/>
    <col min="9182" max="9182" width="48" style="25" customWidth="1"/>
    <col min="9183" max="9183" width="15.7238095238095" style="25" customWidth="1"/>
    <col min="9184" max="9184" width="13.7238095238095" style="25" customWidth="1"/>
    <col min="9185" max="9436" width="9.13333333333333" style="25"/>
    <col min="9437" max="9437" width="17.8666666666667" style="25" customWidth="1"/>
    <col min="9438" max="9438" width="48" style="25" customWidth="1"/>
    <col min="9439" max="9439" width="15.7238095238095" style="25" customWidth="1"/>
    <col min="9440" max="9440" width="13.7238095238095" style="25" customWidth="1"/>
    <col min="9441" max="9692" width="9.13333333333333" style="25"/>
    <col min="9693" max="9693" width="17.8666666666667" style="25" customWidth="1"/>
    <col min="9694" max="9694" width="48" style="25" customWidth="1"/>
    <col min="9695" max="9695" width="15.7238095238095" style="25" customWidth="1"/>
    <col min="9696" max="9696" width="13.7238095238095" style="25" customWidth="1"/>
    <col min="9697" max="9948" width="9.13333333333333" style="25"/>
    <col min="9949" max="9949" width="17.8666666666667" style="25" customWidth="1"/>
    <col min="9950" max="9950" width="48" style="25" customWidth="1"/>
    <col min="9951" max="9951" width="15.7238095238095" style="25" customWidth="1"/>
    <col min="9952" max="9952" width="13.7238095238095" style="25" customWidth="1"/>
    <col min="9953" max="10204" width="9.13333333333333" style="25"/>
    <col min="10205" max="10205" width="17.8666666666667" style="25" customWidth="1"/>
    <col min="10206" max="10206" width="48" style="25" customWidth="1"/>
    <col min="10207" max="10207" width="15.7238095238095" style="25" customWidth="1"/>
    <col min="10208" max="10208" width="13.7238095238095" style="25" customWidth="1"/>
    <col min="10209" max="10460" width="9.13333333333333" style="25"/>
    <col min="10461" max="10461" width="17.8666666666667" style="25" customWidth="1"/>
    <col min="10462" max="10462" width="48" style="25" customWidth="1"/>
    <col min="10463" max="10463" width="15.7238095238095" style="25" customWidth="1"/>
    <col min="10464" max="10464" width="13.7238095238095" style="25" customWidth="1"/>
    <col min="10465" max="10716" width="9.13333333333333" style="25"/>
    <col min="10717" max="10717" width="17.8666666666667" style="25" customWidth="1"/>
    <col min="10718" max="10718" width="48" style="25" customWidth="1"/>
    <col min="10719" max="10719" width="15.7238095238095" style="25" customWidth="1"/>
    <col min="10720" max="10720" width="13.7238095238095" style="25" customWidth="1"/>
    <col min="10721" max="10972" width="9.13333333333333" style="25"/>
    <col min="10973" max="10973" width="17.8666666666667" style="25" customWidth="1"/>
    <col min="10974" max="10974" width="48" style="25" customWidth="1"/>
    <col min="10975" max="10975" width="15.7238095238095" style="25" customWidth="1"/>
    <col min="10976" max="10976" width="13.7238095238095" style="25" customWidth="1"/>
    <col min="10977" max="11228" width="9.13333333333333" style="25"/>
    <col min="11229" max="11229" width="17.8666666666667" style="25" customWidth="1"/>
    <col min="11230" max="11230" width="48" style="25" customWidth="1"/>
    <col min="11231" max="11231" width="15.7238095238095" style="25" customWidth="1"/>
    <col min="11232" max="11232" width="13.7238095238095" style="25" customWidth="1"/>
    <col min="11233" max="11484" width="9.13333333333333" style="25"/>
    <col min="11485" max="11485" width="17.8666666666667" style="25" customWidth="1"/>
    <col min="11486" max="11486" width="48" style="25" customWidth="1"/>
    <col min="11487" max="11487" width="15.7238095238095" style="25" customWidth="1"/>
    <col min="11488" max="11488" width="13.7238095238095" style="25" customWidth="1"/>
    <col min="11489" max="11740" width="9.13333333333333" style="25"/>
    <col min="11741" max="11741" width="17.8666666666667" style="25" customWidth="1"/>
    <col min="11742" max="11742" width="48" style="25" customWidth="1"/>
    <col min="11743" max="11743" width="15.7238095238095" style="25" customWidth="1"/>
    <col min="11744" max="11744" width="13.7238095238095" style="25" customWidth="1"/>
    <col min="11745" max="11996" width="9.13333333333333" style="25"/>
    <col min="11997" max="11997" width="17.8666666666667" style="25" customWidth="1"/>
    <col min="11998" max="11998" width="48" style="25" customWidth="1"/>
    <col min="11999" max="11999" width="15.7238095238095" style="25" customWidth="1"/>
    <col min="12000" max="12000" width="13.7238095238095" style="25" customWidth="1"/>
    <col min="12001" max="12252" width="9.13333333333333" style="25"/>
    <col min="12253" max="12253" width="17.8666666666667" style="25" customWidth="1"/>
    <col min="12254" max="12254" width="48" style="25" customWidth="1"/>
    <col min="12255" max="12255" width="15.7238095238095" style="25" customWidth="1"/>
    <col min="12256" max="12256" width="13.7238095238095" style="25" customWidth="1"/>
    <col min="12257" max="12508" width="9.13333333333333" style="25"/>
    <col min="12509" max="12509" width="17.8666666666667" style="25" customWidth="1"/>
    <col min="12510" max="12510" width="48" style="25" customWidth="1"/>
    <col min="12511" max="12511" width="15.7238095238095" style="25" customWidth="1"/>
    <col min="12512" max="12512" width="13.7238095238095" style="25" customWidth="1"/>
    <col min="12513" max="12764" width="9.13333333333333" style="25"/>
    <col min="12765" max="12765" width="17.8666666666667" style="25" customWidth="1"/>
    <col min="12766" max="12766" width="48" style="25" customWidth="1"/>
    <col min="12767" max="12767" width="15.7238095238095" style="25" customWidth="1"/>
    <col min="12768" max="12768" width="13.7238095238095" style="25" customWidth="1"/>
    <col min="12769" max="13020" width="9.13333333333333" style="25"/>
    <col min="13021" max="13021" width="17.8666666666667" style="25" customWidth="1"/>
    <col min="13022" max="13022" width="48" style="25" customWidth="1"/>
    <col min="13023" max="13023" width="15.7238095238095" style="25" customWidth="1"/>
    <col min="13024" max="13024" width="13.7238095238095" style="25" customWidth="1"/>
    <col min="13025" max="13276" width="9.13333333333333" style="25"/>
    <col min="13277" max="13277" width="17.8666666666667" style="25" customWidth="1"/>
    <col min="13278" max="13278" width="48" style="25" customWidth="1"/>
    <col min="13279" max="13279" width="15.7238095238095" style="25" customWidth="1"/>
    <col min="13280" max="13280" width="13.7238095238095" style="25" customWidth="1"/>
    <col min="13281" max="13532" width="9.13333333333333" style="25"/>
    <col min="13533" max="13533" width="17.8666666666667" style="25" customWidth="1"/>
    <col min="13534" max="13534" width="48" style="25" customWidth="1"/>
    <col min="13535" max="13535" width="15.7238095238095" style="25" customWidth="1"/>
    <col min="13536" max="13536" width="13.7238095238095" style="25" customWidth="1"/>
    <col min="13537" max="13788" width="9.13333333333333" style="25"/>
    <col min="13789" max="13789" width="17.8666666666667" style="25" customWidth="1"/>
    <col min="13790" max="13790" width="48" style="25" customWidth="1"/>
    <col min="13791" max="13791" width="15.7238095238095" style="25" customWidth="1"/>
    <col min="13792" max="13792" width="13.7238095238095" style="25" customWidth="1"/>
    <col min="13793" max="14044" width="9.13333333333333" style="25"/>
    <col min="14045" max="14045" width="17.8666666666667" style="25" customWidth="1"/>
    <col min="14046" max="14046" width="48" style="25" customWidth="1"/>
    <col min="14047" max="14047" width="15.7238095238095" style="25" customWidth="1"/>
    <col min="14048" max="14048" width="13.7238095238095" style="25" customWidth="1"/>
    <col min="14049" max="14300" width="9.13333333333333" style="25"/>
    <col min="14301" max="14301" width="17.8666666666667" style="25" customWidth="1"/>
    <col min="14302" max="14302" width="48" style="25" customWidth="1"/>
    <col min="14303" max="14303" width="15.7238095238095" style="25" customWidth="1"/>
    <col min="14304" max="14304" width="13.7238095238095" style="25" customWidth="1"/>
    <col min="14305" max="14556" width="9.13333333333333" style="25"/>
    <col min="14557" max="14557" width="17.8666666666667" style="25" customWidth="1"/>
    <col min="14558" max="14558" width="48" style="25" customWidth="1"/>
    <col min="14559" max="14559" width="15.7238095238095" style="25" customWidth="1"/>
    <col min="14560" max="14560" width="13.7238095238095" style="25" customWidth="1"/>
    <col min="14561" max="14812" width="9.13333333333333" style="25"/>
    <col min="14813" max="14813" width="17.8666666666667" style="25" customWidth="1"/>
    <col min="14814" max="14814" width="48" style="25" customWidth="1"/>
    <col min="14815" max="14815" width="15.7238095238095" style="25" customWidth="1"/>
    <col min="14816" max="14816" width="13.7238095238095" style="25" customWidth="1"/>
    <col min="14817" max="15068" width="9.13333333333333" style="25"/>
    <col min="15069" max="15069" width="17.8666666666667" style="25" customWidth="1"/>
    <col min="15070" max="15070" width="48" style="25" customWidth="1"/>
    <col min="15071" max="15071" width="15.7238095238095" style="25" customWidth="1"/>
    <col min="15072" max="15072" width="13.7238095238095" style="25" customWidth="1"/>
    <col min="15073" max="15324" width="9.13333333333333" style="25"/>
    <col min="15325" max="15325" width="17.8666666666667" style="25" customWidth="1"/>
    <col min="15326" max="15326" width="48" style="25" customWidth="1"/>
    <col min="15327" max="15327" width="15.7238095238095" style="25" customWidth="1"/>
    <col min="15328" max="15328" width="13.7238095238095" style="25" customWidth="1"/>
    <col min="15329" max="15580" width="9.13333333333333" style="25"/>
    <col min="15581" max="15581" width="17.8666666666667" style="25" customWidth="1"/>
    <col min="15582" max="15582" width="48" style="25" customWidth="1"/>
    <col min="15583" max="15583" width="15.7238095238095" style="25" customWidth="1"/>
    <col min="15584" max="15584" width="13.7238095238095" style="25" customWidth="1"/>
    <col min="15585" max="15836" width="9.13333333333333" style="25"/>
    <col min="15837" max="15837" width="17.8666666666667" style="25" customWidth="1"/>
    <col min="15838" max="15838" width="48" style="25" customWidth="1"/>
    <col min="15839" max="15839" width="15.7238095238095" style="25" customWidth="1"/>
    <col min="15840" max="15840" width="13.7238095238095" style="25" customWidth="1"/>
    <col min="15841" max="16092" width="9.13333333333333" style="25"/>
    <col min="16093" max="16093" width="17.8666666666667" style="25" customWidth="1"/>
    <col min="16094" max="16094" width="48" style="25" customWidth="1"/>
    <col min="16095" max="16095" width="15.7238095238095" style="25" customWidth="1"/>
    <col min="16096" max="16096" width="13.7238095238095" style="25" customWidth="1"/>
    <col min="16097" max="16384" width="9.13333333333333" style="25"/>
  </cols>
  <sheetData>
    <row r="1" ht="44" customHeight="1" spans="1:14">
      <c r="A1" s="14" t="s">
        <v>72</v>
      </c>
      <c r="B1" s="14"/>
      <c r="C1" s="15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</row>
    <row r="2" s="21" customFormat="1" ht="38" customHeight="1" spans="1:14">
      <c r="A2" s="27" t="s">
        <v>73</v>
      </c>
      <c r="B2" s="27" t="s">
        <v>74</v>
      </c>
      <c r="C2" s="27" t="s">
        <v>75</v>
      </c>
      <c r="D2" s="27" t="s">
        <v>76</v>
      </c>
      <c r="E2" s="27" t="s">
        <v>77</v>
      </c>
      <c r="F2" s="28" t="s">
        <v>78</v>
      </c>
      <c r="G2" s="28" t="s">
        <v>79</v>
      </c>
      <c r="H2" s="28" t="s">
        <v>80</v>
      </c>
      <c r="I2" s="28" t="s">
        <v>81</v>
      </c>
      <c r="J2" s="27" t="s">
        <v>82</v>
      </c>
      <c r="K2" s="27" t="s">
        <v>83</v>
      </c>
      <c r="L2" s="27" t="s">
        <v>84</v>
      </c>
      <c r="M2" s="27" t="s">
        <v>85</v>
      </c>
      <c r="N2" s="27" t="s">
        <v>86</v>
      </c>
    </row>
    <row r="3" ht="25" customHeight="1" spans="1:14">
      <c r="A3" s="29">
        <v>1</v>
      </c>
      <c r="B3" s="29" t="s">
        <v>87</v>
      </c>
      <c r="C3" s="30" t="s">
        <v>88</v>
      </c>
      <c r="D3" s="29" t="s">
        <v>89</v>
      </c>
      <c r="E3" s="30" t="s">
        <v>90</v>
      </c>
      <c r="F3" s="31">
        <v>450</v>
      </c>
      <c r="G3" s="31">
        <f>60*1+55</f>
        <v>115</v>
      </c>
      <c r="H3" s="31">
        <v>450</v>
      </c>
      <c r="I3" s="29">
        <f>60*3+10.09</f>
        <v>190.09</v>
      </c>
      <c r="J3" s="31">
        <v>915</v>
      </c>
      <c r="K3" s="31">
        <f t="shared" ref="K3:K49" si="0">F3+H3</f>
        <v>900</v>
      </c>
      <c r="L3" s="31">
        <f t="shared" ref="L3:L49" si="1">G3+I3</f>
        <v>305.09</v>
      </c>
      <c r="M3" s="29">
        <v>1</v>
      </c>
      <c r="N3" s="29" t="s">
        <v>91</v>
      </c>
    </row>
    <row r="4" ht="25" customHeight="1" spans="1:14">
      <c r="A4" s="29">
        <v>2</v>
      </c>
      <c r="B4" s="29" t="s">
        <v>92</v>
      </c>
      <c r="C4" s="30" t="s">
        <v>93</v>
      </c>
      <c r="D4" s="29" t="s">
        <v>94</v>
      </c>
      <c r="E4" s="30" t="s">
        <v>95</v>
      </c>
      <c r="F4" s="31">
        <v>350</v>
      </c>
      <c r="G4" s="31">
        <f>60*2+43</f>
        <v>163</v>
      </c>
      <c r="H4" s="31">
        <v>450</v>
      </c>
      <c r="I4" s="29">
        <f>60*2+4.56</f>
        <v>124.56</v>
      </c>
      <c r="J4" s="31">
        <v>844</v>
      </c>
      <c r="K4" s="31">
        <f t="shared" si="0"/>
        <v>800</v>
      </c>
      <c r="L4" s="31">
        <f t="shared" si="1"/>
        <v>287.56</v>
      </c>
      <c r="M4" s="29">
        <v>2</v>
      </c>
      <c r="N4" s="29" t="s">
        <v>91</v>
      </c>
    </row>
    <row r="5" ht="25" customHeight="1" spans="1:14">
      <c r="A5" s="29">
        <v>3</v>
      </c>
      <c r="B5" s="29" t="s">
        <v>96</v>
      </c>
      <c r="C5" s="30" t="s">
        <v>97</v>
      </c>
      <c r="D5" s="29" t="s">
        <v>98</v>
      </c>
      <c r="E5" s="30" t="s">
        <v>99</v>
      </c>
      <c r="F5" s="31">
        <v>370</v>
      </c>
      <c r="G5" s="31">
        <f>60*2+3.29</f>
        <v>123.29</v>
      </c>
      <c r="H5" s="31">
        <v>370</v>
      </c>
      <c r="I5" s="29">
        <f>60*2+11.57</f>
        <v>131.57</v>
      </c>
      <c r="J5" s="31">
        <v>1018</v>
      </c>
      <c r="K5" s="31">
        <f t="shared" si="0"/>
        <v>740</v>
      </c>
      <c r="L5" s="31">
        <f t="shared" si="1"/>
        <v>254.86</v>
      </c>
      <c r="M5" s="29">
        <v>3</v>
      </c>
      <c r="N5" s="29" t="s">
        <v>91</v>
      </c>
    </row>
    <row r="6" ht="25" customHeight="1" spans="1:15">
      <c r="A6" s="29">
        <v>4</v>
      </c>
      <c r="B6" s="29" t="s">
        <v>100</v>
      </c>
      <c r="C6" s="30" t="s">
        <v>101</v>
      </c>
      <c r="D6" s="29" t="s">
        <v>102</v>
      </c>
      <c r="E6" s="30" t="s">
        <v>103</v>
      </c>
      <c r="F6" s="31">
        <v>390</v>
      </c>
      <c r="G6" s="31">
        <f>60*3+12.4</f>
        <v>192.4</v>
      </c>
      <c r="H6" s="31">
        <v>340</v>
      </c>
      <c r="I6" s="29">
        <f>60*2+46.03</f>
        <v>166.03</v>
      </c>
      <c r="J6" s="31">
        <v>1038</v>
      </c>
      <c r="K6" s="31">
        <f t="shared" si="0"/>
        <v>730</v>
      </c>
      <c r="L6" s="31">
        <f t="shared" si="1"/>
        <v>358.43</v>
      </c>
      <c r="M6" s="29">
        <v>4</v>
      </c>
      <c r="N6" s="29" t="s">
        <v>91</v>
      </c>
      <c r="O6" s="22"/>
    </row>
    <row r="7" ht="25" customHeight="1" spans="1:14">
      <c r="A7" s="29">
        <v>5</v>
      </c>
      <c r="B7" s="29" t="s">
        <v>100</v>
      </c>
      <c r="C7" s="30" t="s">
        <v>104</v>
      </c>
      <c r="D7" s="29" t="s">
        <v>105</v>
      </c>
      <c r="E7" s="30" t="s">
        <v>106</v>
      </c>
      <c r="F7" s="31">
        <v>420</v>
      </c>
      <c r="G7" s="31">
        <f>60*3+55</f>
        <v>235</v>
      </c>
      <c r="H7" s="31">
        <v>300</v>
      </c>
      <c r="I7" s="29">
        <f>60*3+30</f>
        <v>210</v>
      </c>
      <c r="J7" s="31">
        <v>1042</v>
      </c>
      <c r="K7" s="31">
        <f t="shared" si="0"/>
        <v>720</v>
      </c>
      <c r="L7" s="31">
        <f t="shared" si="1"/>
        <v>445</v>
      </c>
      <c r="M7" s="29">
        <v>5</v>
      </c>
      <c r="N7" s="29" t="s">
        <v>91</v>
      </c>
    </row>
    <row r="8" ht="25" customHeight="1" spans="1:14">
      <c r="A8" s="29">
        <v>6</v>
      </c>
      <c r="B8" s="29" t="s">
        <v>107</v>
      </c>
      <c r="C8" s="30" t="s">
        <v>108</v>
      </c>
      <c r="D8" s="29" t="s">
        <v>109</v>
      </c>
      <c r="E8" s="30" t="s">
        <v>110</v>
      </c>
      <c r="F8" s="31">
        <v>350</v>
      </c>
      <c r="G8" s="31">
        <f>60*2+51.73</f>
        <v>171.73</v>
      </c>
      <c r="H8" s="31">
        <v>350</v>
      </c>
      <c r="I8" s="29">
        <f>60*2+44.35</f>
        <v>164.35</v>
      </c>
      <c r="J8" s="31">
        <v>974</v>
      </c>
      <c r="K8" s="31">
        <f t="shared" si="0"/>
        <v>700</v>
      </c>
      <c r="L8" s="31">
        <f t="shared" si="1"/>
        <v>336.08</v>
      </c>
      <c r="M8" s="29">
        <v>6</v>
      </c>
      <c r="N8" s="29" t="s">
        <v>91</v>
      </c>
    </row>
    <row r="9" ht="25" customHeight="1" spans="1:15">
      <c r="A9" s="29">
        <v>7</v>
      </c>
      <c r="B9" s="29" t="s">
        <v>111</v>
      </c>
      <c r="C9" s="30" t="s">
        <v>112</v>
      </c>
      <c r="D9" s="29" t="s">
        <v>113</v>
      </c>
      <c r="E9" s="30" t="s">
        <v>114</v>
      </c>
      <c r="F9" s="31">
        <v>250</v>
      </c>
      <c r="G9" s="31">
        <f>60*3+30</f>
        <v>210</v>
      </c>
      <c r="H9" s="31">
        <v>450</v>
      </c>
      <c r="I9" s="29">
        <f>60*2+20.56</f>
        <v>140.56</v>
      </c>
      <c r="J9" s="31">
        <v>860</v>
      </c>
      <c r="K9" s="31">
        <f t="shared" si="0"/>
        <v>700</v>
      </c>
      <c r="L9" s="31">
        <f t="shared" si="1"/>
        <v>350.56</v>
      </c>
      <c r="M9" s="29">
        <v>7</v>
      </c>
      <c r="N9" s="29" t="s">
        <v>91</v>
      </c>
      <c r="O9" s="22"/>
    </row>
    <row r="10" ht="25" customHeight="1" spans="1:15">
      <c r="A10" s="29">
        <v>8</v>
      </c>
      <c r="B10" s="29" t="s">
        <v>115</v>
      </c>
      <c r="C10" s="30" t="s">
        <v>116</v>
      </c>
      <c r="D10" s="29" t="s">
        <v>117</v>
      </c>
      <c r="E10" s="30" t="s">
        <v>118</v>
      </c>
      <c r="F10" s="31">
        <v>320</v>
      </c>
      <c r="G10" s="31">
        <f>60*3+20.41</f>
        <v>200.41</v>
      </c>
      <c r="H10" s="31">
        <v>350</v>
      </c>
      <c r="I10" s="29">
        <f>60*2+38.16</f>
        <v>158.16</v>
      </c>
      <c r="J10" s="31">
        <v>922</v>
      </c>
      <c r="K10" s="31">
        <f t="shared" si="0"/>
        <v>670</v>
      </c>
      <c r="L10" s="31">
        <f t="shared" si="1"/>
        <v>358.57</v>
      </c>
      <c r="M10" s="29">
        <v>8</v>
      </c>
      <c r="N10" s="29" t="s">
        <v>91</v>
      </c>
      <c r="O10" s="22"/>
    </row>
    <row r="11" ht="25" customHeight="1" spans="1:14">
      <c r="A11" s="29">
        <v>9</v>
      </c>
      <c r="B11" s="29" t="s">
        <v>119</v>
      </c>
      <c r="C11" s="30" t="s">
        <v>120</v>
      </c>
      <c r="D11" s="29" t="s">
        <v>121</v>
      </c>
      <c r="E11" s="30" t="s">
        <v>122</v>
      </c>
      <c r="F11" s="31">
        <v>350</v>
      </c>
      <c r="G11" s="31">
        <f>60*2+32.71</f>
        <v>152.71</v>
      </c>
      <c r="H11" s="31">
        <v>300</v>
      </c>
      <c r="I11" s="29">
        <f>60*3+30</f>
        <v>210</v>
      </c>
      <c r="J11" s="31">
        <v>971</v>
      </c>
      <c r="K11" s="31">
        <f t="shared" si="0"/>
        <v>650</v>
      </c>
      <c r="L11" s="31">
        <f t="shared" si="1"/>
        <v>362.71</v>
      </c>
      <c r="M11" s="29">
        <v>9</v>
      </c>
      <c r="N11" s="29" t="s">
        <v>123</v>
      </c>
    </row>
    <row r="12" ht="25" customHeight="1" spans="1:14">
      <c r="A12" s="29">
        <v>10</v>
      </c>
      <c r="B12" s="29" t="s">
        <v>124</v>
      </c>
      <c r="C12" s="30" t="s">
        <v>125</v>
      </c>
      <c r="D12" s="29" t="s">
        <v>126</v>
      </c>
      <c r="E12" s="30" t="s">
        <v>127</v>
      </c>
      <c r="F12" s="31">
        <v>220</v>
      </c>
      <c r="G12" s="31">
        <f>60*2+56.56</f>
        <v>176.56</v>
      </c>
      <c r="H12" s="31">
        <v>400</v>
      </c>
      <c r="I12" s="29">
        <f>60*2+17.44</f>
        <v>137.44</v>
      </c>
      <c r="J12" s="31">
        <v>1032</v>
      </c>
      <c r="K12" s="31">
        <f t="shared" si="0"/>
        <v>620</v>
      </c>
      <c r="L12" s="31">
        <f t="shared" si="1"/>
        <v>314</v>
      </c>
      <c r="M12" s="29">
        <v>10</v>
      </c>
      <c r="N12" s="29" t="s">
        <v>123</v>
      </c>
    </row>
    <row r="13" ht="25" customHeight="1" spans="1:15">
      <c r="A13" s="29">
        <v>11</v>
      </c>
      <c r="B13" s="29" t="s">
        <v>111</v>
      </c>
      <c r="C13" s="30" t="s">
        <v>128</v>
      </c>
      <c r="D13" s="29" t="s">
        <v>129</v>
      </c>
      <c r="E13" s="30" t="s">
        <v>130</v>
      </c>
      <c r="F13" s="31">
        <v>340</v>
      </c>
      <c r="G13" s="31">
        <f>60*3+30</f>
        <v>210</v>
      </c>
      <c r="H13" s="31">
        <v>270</v>
      </c>
      <c r="I13" s="29">
        <f>60*2+14.66</f>
        <v>134.66</v>
      </c>
      <c r="J13" s="31">
        <v>870</v>
      </c>
      <c r="K13" s="31">
        <f t="shared" si="0"/>
        <v>610</v>
      </c>
      <c r="L13" s="31">
        <f t="shared" si="1"/>
        <v>344.66</v>
      </c>
      <c r="M13" s="29">
        <v>11</v>
      </c>
      <c r="N13" s="29" t="s">
        <v>123</v>
      </c>
      <c r="O13" s="22"/>
    </row>
    <row r="14" ht="25" customHeight="1" spans="1:15">
      <c r="A14" s="29">
        <v>12</v>
      </c>
      <c r="B14" s="29" t="s">
        <v>100</v>
      </c>
      <c r="C14" s="30" t="s">
        <v>131</v>
      </c>
      <c r="D14" s="29" t="s">
        <v>132</v>
      </c>
      <c r="E14" s="30" t="s">
        <v>133</v>
      </c>
      <c r="F14" s="31">
        <v>160</v>
      </c>
      <c r="G14" s="32">
        <f>60*3+30</f>
        <v>210</v>
      </c>
      <c r="H14" s="31">
        <v>440</v>
      </c>
      <c r="I14" s="30">
        <f>60*2+15.25</f>
        <v>135.25</v>
      </c>
      <c r="J14" s="31">
        <v>1047</v>
      </c>
      <c r="K14" s="32">
        <f t="shared" si="0"/>
        <v>600</v>
      </c>
      <c r="L14" s="31">
        <f t="shared" si="1"/>
        <v>345.25</v>
      </c>
      <c r="M14" s="30">
        <v>12</v>
      </c>
      <c r="N14" s="29" t="s">
        <v>123</v>
      </c>
      <c r="O14" s="22"/>
    </row>
    <row r="15" ht="25" customHeight="1" spans="1:14">
      <c r="A15" s="29">
        <v>13</v>
      </c>
      <c r="B15" s="29" t="s">
        <v>111</v>
      </c>
      <c r="C15" s="30" t="s">
        <v>134</v>
      </c>
      <c r="D15" s="29" t="s">
        <v>135</v>
      </c>
      <c r="E15" s="30" t="s">
        <v>136</v>
      </c>
      <c r="F15" s="31">
        <v>190</v>
      </c>
      <c r="G15" s="32">
        <f>60*3+3.91</f>
        <v>183.91</v>
      </c>
      <c r="H15" s="31">
        <v>400</v>
      </c>
      <c r="I15" s="30">
        <f>60*2+41.44</f>
        <v>161.44</v>
      </c>
      <c r="J15" s="31">
        <v>1001</v>
      </c>
      <c r="K15" s="32">
        <f t="shared" si="0"/>
        <v>590</v>
      </c>
      <c r="L15" s="31">
        <f t="shared" si="1"/>
        <v>345.35</v>
      </c>
      <c r="M15" s="30">
        <v>13</v>
      </c>
      <c r="N15" s="29" t="s">
        <v>123</v>
      </c>
    </row>
    <row r="16" s="22" customFormat="1" ht="25" customHeight="1" spans="1:15">
      <c r="A16" s="29">
        <v>14</v>
      </c>
      <c r="B16" s="29" t="s">
        <v>96</v>
      </c>
      <c r="C16" s="30" t="s">
        <v>137</v>
      </c>
      <c r="D16" s="29" t="s">
        <v>138</v>
      </c>
      <c r="E16" s="30" t="s">
        <v>139</v>
      </c>
      <c r="F16" s="31">
        <v>140</v>
      </c>
      <c r="G16" s="32">
        <f>60*3+30</f>
        <v>210</v>
      </c>
      <c r="H16" s="31">
        <v>450</v>
      </c>
      <c r="I16" s="30">
        <f>60*3+10</f>
        <v>190</v>
      </c>
      <c r="J16" s="31">
        <v>1025</v>
      </c>
      <c r="K16" s="32">
        <f t="shared" si="0"/>
        <v>590</v>
      </c>
      <c r="L16" s="31">
        <f t="shared" si="1"/>
        <v>400</v>
      </c>
      <c r="M16" s="30">
        <v>14</v>
      </c>
      <c r="N16" s="29" t="s">
        <v>123</v>
      </c>
      <c r="O16" s="25"/>
    </row>
    <row r="17" s="22" customFormat="1" ht="25" customHeight="1" spans="1:15">
      <c r="A17" s="29">
        <v>15</v>
      </c>
      <c r="B17" s="29" t="s">
        <v>140</v>
      </c>
      <c r="C17" s="30" t="s">
        <v>141</v>
      </c>
      <c r="D17" s="29" t="s">
        <v>142</v>
      </c>
      <c r="E17" s="30" t="s">
        <v>143</v>
      </c>
      <c r="F17" s="31">
        <v>300</v>
      </c>
      <c r="G17" s="32">
        <f>60*3+14.37</f>
        <v>194.37</v>
      </c>
      <c r="H17" s="31">
        <v>210</v>
      </c>
      <c r="I17" s="30">
        <f>60*3+30</f>
        <v>210</v>
      </c>
      <c r="J17" s="31">
        <v>955</v>
      </c>
      <c r="K17" s="32">
        <f t="shared" si="0"/>
        <v>510</v>
      </c>
      <c r="L17" s="31">
        <f t="shared" si="1"/>
        <v>404.37</v>
      </c>
      <c r="M17" s="30">
        <v>15</v>
      </c>
      <c r="N17" s="29" t="s">
        <v>123</v>
      </c>
      <c r="O17" s="25"/>
    </row>
    <row r="18" s="22" customFormat="1" ht="25" customHeight="1" spans="1:15">
      <c r="A18" s="29">
        <v>16</v>
      </c>
      <c r="B18" s="29" t="s">
        <v>100</v>
      </c>
      <c r="C18" s="30" t="s">
        <v>144</v>
      </c>
      <c r="D18" s="29" t="s">
        <v>145</v>
      </c>
      <c r="E18" s="30" t="s">
        <v>133</v>
      </c>
      <c r="F18" s="31">
        <v>260</v>
      </c>
      <c r="G18" s="32">
        <f>60*3+30</f>
        <v>210</v>
      </c>
      <c r="H18" s="31">
        <v>240</v>
      </c>
      <c r="I18" s="30">
        <f>60*3+1.01</f>
        <v>181.01</v>
      </c>
      <c r="J18" s="31">
        <v>1032</v>
      </c>
      <c r="K18" s="32">
        <f t="shared" si="0"/>
        <v>500</v>
      </c>
      <c r="L18" s="31">
        <f t="shared" si="1"/>
        <v>391.01</v>
      </c>
      <c r="M18" s="30">
        <v>16</v>
      </c>
      <c r="N18" s="29" t="s">
        <v>123</v>
      </c>
      <c r="O18" s="25"/>
    </row>
    <row r="19" s="22" customFormat="1" ht="25" customHeight="1" spans="1:15">
      <c r="A19" s="29">
        <v>17</v>
      </c>
      <c r="B19" s="29" t="s">
        <v>115</v>
      </c>
      <c r="C19" s="30" t="s">
        <v>146</v>
      </c>
      <c r="D19" s="29" t="s">
        <v>147</v>
      </c>
      <c r="E19" s="30" t="s">
        <v>148</v>
      </c>
      <c r="F19" s="31">
        <v>20</v>
      </c>
      <c r="G19" s="32">
        <f>60*2+49.14</f>
        <v>169.14</v>
      </c>
      <c r="H19" s="31">
        <v>450</v>
      </c>
      <c r="I19" s="30">
        <f>60*2+25.46</f>
        <v>145.46</v>
      </c>
      <c r="J19" s="31">
        <v>910</v>
      </c>
      <c r="K19" s="32">
        <f t="shared" si="0"/>
        <v>470</v>
      </c>
      <c r="L19" s="31">
        <f t="shared" si="1"/>
        <v>314.6</v>
      </c>
      <c r="M19" s="30">
        <v>17</v>
      </c>
      <c r="N19" s="29" t="s">
        <v>123</v>
      </c>
      <c r="O19" s="25"/>
    </row>
    <row r="20" s="22" customFormat="1" ht="25" customHeight="1" spans="1:15">
      <c r="A20" s="29">
        <v>18</v>
      </c>
      <c r="B20" s="33" t="s">
        <v>140</v>
      </c>
      <c r="C20" s="34" t="s">
        <v>149</v>
      </c>
      <c r="D20" s="33" t="s">
        <v>150</v>
      </c>
      <c r="E20" s="34" t="s">
        <v>151</v>
      </c>
      <c r="F20" s="35">
        <v>210</v>
      </c>
      <c r="G20" s="35">
        <f>60*2+55.59</f>
        <v>175.59</v>
      </c>
      <c r="H20" s="35">
        <v>210</v>
      </c>
      <c r="I20" s="35">
        <f>60*3+30</f>
        <v>210</v>
      </c>
      <c r="J20" s="35">
        <v>955</v>
      </c>
      <c r="K20" s="31">
        <f t="shared" si="0"/>
        <v>420</v>
      </c>
      <c r="L20" s="31">
        <f t="shared" si="1"/>
        <v>385.59</v>
      </c>
      <c r="M20" s="31">
        <v>18</v>
      </c>
      <c r="N20" s="29" t="s">
        <v>123</v>
      </c>
      <c r="O20" s="25"/>
    </row>
    <row r="21" s="22" customFormat="1" ht="25" customHeight="1" spans="1:14">
      <c r="A21" s="29">
        <v>19</v>
      </c>
      <c r="B21" s="33" t="s">
        <v>92</v>
      </c>
      <c r="C21" s="34" t="s">
        <v>152</v>
      </c>
      <c r="D21" s="33" t="s">
        <v>153</v>
      </c>
      <c r="E21" s="34" t="s">
        <v>154</v>
      </c>
      <c r="F21" s="35">
        <v>210</v>
      </c>
      <c r="G21" s="35">
        <f>60*3+30</f>
        <v>210</v>
      </c>
      <c r="H21" s="35">
        <v>210</v>
      </c>
      <c r="I21" s="35">
        <f>60*3+30</f>
        <v>210</v>
      </c>
      <c r="J21" s="35">
        <v>975</v>
      </c>
      <c r="K21" s="31">
        <f t="shared" si="0"/>
        <v>420</v>
      </c>
      <c r="L21" s="31">
        <f t="shared" si="1"/>
        <v>420</v>
      </c>
      <c r="M21" s="31">
        <v>19</v>
      </c>
      <c r="N21" s="29" t="s">
        <v>123</v>
      </c>
    </row>
    <row r="22" s="22" customFormat="1" ht="25" customHeight="1" spans="1:14">
      <c r="A22" s="29">
        <v>20</v>
      </c>
      <c r="B22" s="33" t="s">
        <v>107</v>
      </c>
      <c r="C22" s="34" t="s">
        <v>155</v>
      </c>
      <c r="D22" s="33" t="s">
        <v>156</v>
      </c>
      <c r="E22" s="34" t="s">
        <v>157</v>
      </c>
      <c r="F22" s="35">
        <v>220</v>
      </c>
      <c r="G22" s="35">
        <f>60*3+19.41</f>
        <v>199.41</v>
      </c>
      <c r="H22" s="35">
        <v>190</v>
      </c>
      <c r="I22" s="35">
        <f>60*1+55.19</f>
        <v>115.19</v>
      </c>
      <c r="J22" s="35">
        <v>951</v>
      </c>
      <c r="K22" s="31">
        <f t="shared" si="0"/>
        <v>410</v>
      </c>
      <c r="L22" s="31">
        <f t="shared" si="1"/>
        <v>314.6</v>
      </c>
      <c r="M22" s="31">
        <v>20</v>
      </c>
      <c r="N22" s="29" t="s">
        <v>123</v>
      </c>
    </row>
    <row r="23" s="22" customFormat="1" ht="25" customHeight="1" spans="1:15">
      <c r="A23" s="29">
        <v>21</v>
      </c>
      <c r="B23" s="33" t="s">
        <v>111</v>
      </c>
      <c r="C23" s="34" t="s">
        <v>158</v>
      </c>
      <c r="D23" s="33" t="s">
        <v>159</v>
      </c>
      <c r="E23" s="34" t="s">
        <v>160</v>
      </c>
      <c r="F23" s="35">
        <v>20</v>
      </c>
      <c r="G23" s="35">
        <f>60*3+30</f>
        <v>210</v>
      </c>
      <c r="H23" s="35">
        <v>370</v>
      </c>
      <c r="I23" s="35">
        <f>60*2+56.88</f>
        <v>176.88</v>
      </c>
      <c r="J23" s="35">
        <v>1036</v>
      </c>
      <c r="K23" s="31">
        <f t="shared" si="0"/>
        <v>390</v>
      </c>
      <c r="L23" s="31">
        <f t="shared" si="1"/>
        <v>386.88</v>
      </c>
      <c r="M23" s="31">
        <v>21</v>
      </c>
      <c r="N23" s="29" t="s">
        <v>123</v>
      </c>
      <c r="O23" s="25"/>
    </row>
    <row r="24" s="22" customFormat="1" ht="25" customHeight="1" spans="1:15">
      <c r="A24" s="29">
        <v>22</v>
      </c>
      <c r="B24" s="33" t="s">
        <v>119</v>
      </c>
      <c r="C24" s="34" t="s">
        <v>161</v>
      </c>
      <c r="D24" s="33" t="s">
        <v>162</v>
      </c>
      <c r="E24" s="34" t="s">
        <v>163</v>
      </c>
      <c r="F24" s="35">
        <v>170</v>
      </c>
      <c r="G24" s="35">
        <f>60*3+30</f>
        <v>210</v>
      </c>
      <c r="H24" s="35">
        <v>220</v>
      </c>
      <c r="I24" s="35">
        <f>60*3+25.91</f>
        <v>205.91</v>
      </c>
      <c r="J24" s="35">
        <v>958</v>
      </c>
      <c r="K24" s="31">
        <f t="shared" si="0"/>
        <v>390</v>
      </c>
      <c r="L24" s="31">
        <f t="shared" si="1"/>
        <v>415.91</v>
      </c>
      <c r="M24" s="31">
        <v>22</v>
      </c>
      <c r="N24" s="29" t="s">
        <v>123</v>
      </c>
      <c r="O24" s="25"/>
    </row>
    <row r="25" s="22" customFormat="1" ht="25" customHeight="1" spans="1:14">
      <c r="A25" s="29">
        <v>23</v>
      </c>
      <c r="B25" s="33" t="s">
        <v>119</v>
      </c>
      <c r="C25" s="34" t="s">
        <v>164</v>
      </c>
      <c r="D25" s="33" t="s">
        <v>165</v>
      </c>
      <c r="E25" s="34" t="s">
        <v>166</v>
      </c>
      <c r="F25" s="35">
        <v>190</v>
      </c>
      <c r="G25" s="35">
        <f>60*3+30</f>
        <v>210</v>
      </c>
      <c r="H25" s="35">
        <v>190</v>
      </c>
      <c r="I25" s="35">
        <f>60*2+9.25</f>
        <v>129.25</v>
      </c>
      <c r="J25" s="35">
        <v>1072</v>
      </c>
      <c r="K25" s="31">
        <f t="shared" si="0"/>
        <v>380</v>
      </c>
      <c r="L25" s="31">
        <f t="shared" si="1"/>
        <v>339.25</v>
      </c>
      <c r="M25" s="31">
        <v>23</v>
      </c>
      <c r="N25" s="29" t="s">
        <v>123</v>
      </c>
    </row>
    <row r="26" s="22" customFormat="1" ht="25" customHeight="1" spans="1:15">
      <c r="A26" s="29">
        <v>24</v>
      </c>
      <c r="B26" s="33" t="s">
        <v>115</v>
      </c>
      <c r="C26" s="34" t="s">
        <v>167</v>
      </c>
      <c r="D26" s="33" t="s">
        <v>168</v>
      </c>
      <c r="E26" s="34" t="s">
        <v>169</v>
      </c>
      <c r="F26" s="35">
        <v>220</v>
      </c>
      <c r="G26" s="35">
        <f>60*2+48.75</f>
        <v>168.75</v>
      </c>
      <c r="H26" s="35">
        <v>150</v>
      </c>
      <c r="I26" s="35">
        <f>60*3+30</f>
        <v>210</v>
      </c>
      <c r="J26" s="35">
        <v>910</v>
      </c>
      <c r="K26" s="31">
        <f t="shared" si="0"/>
        <v>370</v>
      </c>
      <c r="L26" s="31">
        <f t="shared" si="1"/>
        <v>378.75</v>
      </c>
      <c r="M26" s="31">
        <v>24</v>
      </c>
      <c r="N26" s="29" t="s">
        <v>123</v>
      </c>
      <c r="O26" s="25"/>
    </row>
    <row r="27" s="23" customFormat="1" ht="25" customHeight="1" spans="1:15">
      <c r="A27" s="29">
        <v>25</v>
      </c>
      <c r="B27" s="36" t="s">
        <v>96</v>
      </c>
      <c r="C27" s="37" t="s">
        <v>170</v>
      </c>
      <c r="D27" s="36" t="s">
        <v>171</v>
      </c>
      <c r="E27" s="37" t="s">
        <v>172</v>
      </c>
      <c r="F27" s="36">
        <v>150</v>
      </c>
      <c r="G27" s="36">
        <f>60*3+30</f>
        <v>210</v>
      </c>
      <c r="H27" s="36">
        <v>190</v>
      </c>
      <c r="I27" s="36">
        <f>60*2+37.22</f>
        <v>157.22</v>
      </c>
      <c r="J27" s="36">
        <v>995</v>
      </c>
      <c r="K27" s="40">
        <f t="shared" si="0"/>
        <v>340</v>
      </c>
      <c r="L27" s="40">
        <f t="shared" si="1"/>
        <v>367.22</v>
      </c>
      <c r="M27" s="31">
        <v>25</v>
      </c>
      <c r="N27" s="29" t="s">
        <v>123</v>
      </c>
      <c r="O27" s="24"/>
    </row>
    <row r="28" s="22" customFormat="1" ht="25" customHeight="1" spans="1:15">
      <c r="A28" s="29">
        <v>26</v>
      </c>
      <c r="B28" s="33" t="s">
        <v>119</v>
      </c>
      <c r="C28" s="34" t="s">
        <v>173</v>
      </c>
      <c r="D28" s="33" t="s">
        <v>174</v>
      </c>
      <c r="E28" s="34" t="s">
        <v>163</v>
      </c>
      <c r="F28" s="35">
        <v>210</v>
      </c>
      <c r="G28" s="35">
        <f>60*3+30</f>
        <v>210</v>
      </c>
      <c r="H28" s="35">
        <v>130</v>
      </c>
      <c r="I28" s="35">
        <f>60*3+30</f>
        <v>210</v>
      </c>
      <c r="J28" s="35">
        <v>956</v>
      </c>
      <c r="K28" s="31">
        <f t="shared" si="0"/>
        <v>340</v>
      </c>
      <c r="L28" s="31">
        <f t="shared" si="1"/>
        <v>420</v>
      </c>
      <c r="M28" s="31">
        <v>26</v>
      </c>
      <c r="N28" s="29" t="s">
        <v>123</v>
      </c>
      <c r="O28" s="25"/>
    </row>
    <row r="29" s="22" customFormat="1" ht="25" customHeight="1" spans="1:14">
      <c r="A29" s="29">
        <v>27</v>
      </c>
      <c r="B29" s="33" t="s">
        <v>175</v>
      </c>
      <c r="C29" s="34" t="s">
        <v>176</v>
      </c>
      <c r="D29" s="33" t="s">
        <v>177</v>
      </c>
      <c r="E29" s="34" t="s">
        <v>178</v>
      </c>
      <c r="F29" s="35">
        <v>160</v>
      </c>
      <c r="G29" s="35">
        <f>42.75</f>
        <v>42.75</v>
      </c>
      <c r="H29" s="35">
        <v>170</v>
      </c>
      <c r="I29" s="35">
        <f>60*1+14.97</f>
        <v>74.97</v>
      </c>
      <c r="J29" s="35">
        <v>871</v>
      </c>
      <c r="K29" s="31">
        <f t="shared" si="0"/>
        <v>330</v>
      </c>
      <c r="L29" s="31">
        <f t="shared" si="1"/>
        <v>117.72</v>
      </c>
      <c r="M29" s="31">
        <v>27</v>
      </c>
      <c r="N29" s="33" t="s">
        <v>179</v>
      </c>
    </row>
    <row r="30" s="22" customFormat="1" ht="25" customHeight="1" spans="1:14">
      <c r="A30" s="29">
        <v>28</v>
      </c>
      <c r="B30" s="33" t="s">
        <v>111</v>
      </c>
      <c r="C30" s="34" t="s">
        <v>180</v>
      </c>
      <c r="D30" s="33" t="s">
        <v>181</v>
      </c>
      <c r="E30" s="34" t="s">
        <v>182</v>
      </c>
      <c r="F30" s="35">
        <v>30</v>
      </c>
      <c r="G30" s="35">
        <f>47.44</f>
        <v>47.44</v>
      </c>
      <c r="H30" s="35">
        <v>300</v>
      </c>
      <c r="I30" s="35">
        <f>60*2+23.47</f>
        <v>143.47</v>
      </c>
      <c r="J30" s="35">
        <v>999</v>
      </c>
      <c r="K30" s="31">
        <f t="shared" si="0"/>
        <v>330</v>
      </c>
      <c r="L30" s="31">
        <f t="shared" si="1"/>
        <v>190.91</v>
      </c>
      <c r="M30" s="31">
        <v>28</v>
      </c>
      <c r="N30" s="33" t="s">
        <v>179</v>
      </c>
    </row>
    <row r="31" s="22" customFormat="1" ht="25" customHeight="1" spans="1:15">
      <c r="A31" s="29">
        <v>29</v>
      </c>
      <c r="B31" s="33" t="s">
        <v>183</v>
      </c>
      <c r="C31" s="34" t="s">
        <v>184</v>
      </c>
      <c r="D31" s="33" t="s">
        <v>185</v>
      </c>
      <c r="E31" s="34" t="s">
        <v>186</v>
      </c>
      <c r="F31" s="35">
        <v>160</v>
      </c>
      <c r="G31" s="35">
        <f>60*3+30</f>
        <v>210</v>
      </c>
      <c r="H31" s="35">
        <v>160</v>
      </c>
      <c r="I31" s="35">
        <f>60*3+30</f>
        <v>210</v>
      </c>
      <c r="J31" s="35">
        <v>1030</v>
      </c>
      <c r="K31" s="31">
        <f t="shared" si="0"/>
        <v>320</v>
      </c>
      <c r="L31" s="31">
        <f t="shared" si="1"/>
        <v>420</v>
      </c>
      <c r="M31" s="31">
        <v>29</v>
      </c>
      <c r="N31" s="33" t="s">
        <v>179</v>
      </c>
      <c r="O31" s="25"/>
    </row>
    <row r="32" s="22" customFormat="1" ht="25" customHeight="1" spans="1:15">
      <c r="A32" s="29">
        <v>30</v>
      </c>
      <c r="B32" s="33" t="s">
        <v>140</v>
      </c>
      <c r="C32" s="34" t="s">
        <v>187</v>
      </c>
      <c r="D32" s="33" t="s">
        <v>188</v>
      </c>
      <c r="E32" s="34" t="s">
        <v>189</v>
      </c>
      <c r="F32" s="35">
        <v>20</v>
      </c>
      <c r="G32" s="35">
        <f>60*3+30</f>
        <v>210</v>
      </c>
      <c r="H32" s="35">
        <v>270</v>
      </c>
      <c r="I32" s="35">
        <f>60*3+19.02</f>
        <v>199.02</v>
      </c>
      <c r="J32" s="35">
        <v>910</v>
      </c>
      <c r="K32" s="31">
        <f t="shared" si="0"/>
        <v>290</v>
      </c>
      <c r="L32" s="31">
        <f t="shared" si="1"/>
        <v>409.02</v>
      </c>
      <c r="M32" s="31">
        <v>30</v>
      </c>
      <c r="N32" s="33" t="s">
        <v>179</v>
      </c>
      <c r="O32" s="25"/>
    </row>
    <row r="33" s="22" customFormat="1" ht="25" customHeight="1" spans="1:15">
      <c r="A33" s="29">
        <v>31</v>
      </c>
      <c r="B33" s="33" t="s">
        <v>190</v>
      </c>
      <c r="C33" s="34" t="s">
        <v>191</v>
      </c>
      <c r="D33" s="33" t="s">
        <v>192</v>
      </c>
      <c r="E33" s="34" t="s">
        <v>193</v>
      </c>
      <c r="F33" s="35">
        <v>220</v>
      </c>
      <c r="G33" s="35">
        <f>60*3+30</f>
        <v>210</v>
      </c>
      <c r="H33" s="35">
        <v>50</v>
      </c>
      <c r="I33" s="35">
        <f>60*1+52.69</f>
        <v>112.69</v>
      </c>
      <c r="J33" s="35">
        <v>1033</v>
      </c>
      <c r="K33" s="31">
        <f t="shared" si="0"/>
        <v>270</v>
      </c>
      <c r="L33" s="31">
        <f t="shared" si="1"/>
        <v>322.69</v>
      </c>
      <c r="M33" s="31">
        <v>31</v>
      </c>
      <c r="N33" s="33" t="s">
        <v>179</v>
      </c>
      <c r="O33" s="25"/>
    </row>
    <row r="34" s="22" customFormat="1" ht="25" customHeight="1" spans="1:14">
      <c r="A34" s="29">
        <v>32</v>
      </c>
      <c r="B34" s="29" t="s">
        <v>115</v>
      </c>
      <c r="C34" s="30" t="s">
        <v>194</v>
      </c>
      <c r="D34" s="29" t="s">
        <v>195</v>
      </c>
      <c r="E34" s="30" t="s">
        <v>196</v>
      </c>
      <c r="F34" s="31">
        <v>20</v>
      </c>
      <c r="G34" s="31">
        <f>60*3+30</f>
        <v>210</v>
      </c>
      <c r="H34" s="31">
        <v>250</v>
      </c>
      <c r="I34" s="31">
        <f>60*3+30</f>
        <v>210</v>
      </c>
      <c r="J34" s="31">
        <v>1003</v>
      </c>
      <c r="K34" s="31">
        <f t="shared" si="0"/>
        <v>270</v>
      </c>
      <c r="L34" s="31">
        <f t="shared" si="1"/>
        <v>420</v>
      </c>
      <c r="M34" s="31">
        <v>32</v>
      </c>
      <c r="N34" s="33" t="s">
        <v>179</v>
      </c>
    </row>
    <row r="35" s="24" customFormat="1" ht="25" customHeight="1" spans="1:15">
      <c r="A35" s="29">
        <v>33</v>
      </c>
      <c r="B35" s="38" t="s">
        <v>140</v>
      </c>
      <c r="C35" s="39" t="s">
        <v>197</v>
      </c>
      <c r="D35" s="38" t="s">
        <v>198</v>
      </c>
      <c r="E35" s="39" t="s">
        <v>199</v>
      </c>
      <c r="F35" s="40">
        <v>20</v>
      </c>
      <c r="G35" s="40">
        <f>60*1+12.15</f>
        <v>72.15</v>
      </c>
      <c r="H35" s="40">
        <v>230</v>
      </c>
      <c r="I35" s="40">
        <f>60*2+8.82</f>
        <v>128.82</v>
      </c>
      <c r="J35" s="40">
        <v>1024</v>
      </c>
      <c r="K35" s="40">
        <f t="shared" si="0"/>
        <v>250</v>
      </c>
      <c r="L35" s="40">
        <f t="shared" si="1"/>
        <v>200.97</v>
      </c>
      <c r="M35" s="31">
        <v>33</v>
      </c>
      <c r="N35" s="33" t="s">
        <v>179</v>
      </c>
      <c r="O35" s="41"/>
    </row>
    <row r="36" ht="25" customHeight="1" spans="1:14">
      <c r="A36" s="29">
        <v>34</v>
      </c>
      <c r="B36" s="29" t="s">
        <v>119</v>
      </c>
      <c r="C36" s="30" t="s">
        <v>200</v>
      </c>
      <c r="D36" s="29" t="s">
        <v>201</v>
      </c>
      <c r="E36" s="30" t="s">
        <v>122</v>
      </c>
      <c r="F36" s="31">
        <v>120</v>
      </c>
      <c r="G36" s="31">
        <f>60*3+4.41</f>
        <v>184.41</v>
      </c>
      <c r="H36" s="31">
        <v>130</v>
      </c>
      <c r="I36" s="31">
        <f>60*3+30</f>
        <v>210</v>
      </c>
      <c r="J36" s="31">
        <v>786</v>
      </c>
      <c r="K36" s="31">
        <f t="shared" si="0"/>
        <v>250</v>
      </c>
      <c r="L36" s="31">
        <f t="shared" si="1"/>
        <v>394.41</v>
      </c>
      <c r="M36" s="31">
        <v>34</v>
      </c>
      <c r="N36" s="33" t="s">
        <v>179</v>
      </c>
    </row>
    <row r="37" ht="25" customHeight="1" spans="1:15">
      <c r="A37" s="29">
        <v>35</v>
      </c>
      <c r="B37" s="29" t="s">
        <v>92</v>
      </c>
      <c r="C37" s="30" t="s">
        <v>202</v>
      </c>
      <c r="D37" s="29" t="s">
        <v>203</v>
      </c>
      <c r="E37" s="30" t="s">
        <v>204</v>
      </c>
      <c r="F37" s="31">
        <v>110</v>
      </c>
      <c r="G37" s="31">
        <f>60*2+2.22</f>
        <v>122.22</v>
      </c>
      <c r="H37" s="31">
        <v>120</v>
      </c>
      <c r="I37" s="31">
        <f>26.29</f>
        <v>26.29</v>
      </c>
      <c r="J37" s="31">
        <v>983</v>
      </c>
      <c r="K37" s="31">
        <f t="shared" si="0"/>
        <v>230</v>
      </c>
      <c r="L37" s="31">
        <f t="shared" si="1"/>
        <v>148.51</v>
      </c>
      <c r="M37" s="31">
        <v>35</v>
      </c>
      <c r="N37" s="33" t="s">
        <v>179</v>
      </c>
      <c r="O37" s="22"/>
    </row>
    <row r="38" ht="25" customHeight="1" spans="1:14">
      <c r="A38" s="29">
        <v>36</v>
      </c>
      <c r="B38" s="29" t="s">
        <v>119</v>
      </c>
      <c r="C38" s="30" t="s">
        <v>205</v>
      </c>
      <c r="D38" s="29" t="s">
        <v>206</v>
      </c>
      <c r="E38" s="30" t="s">
        <v>207</v>
      </c>
      <c r="F38" s="31">
        <v>0</v>
      </c>
      <c r="G38" s="31">
        <f>60*2+58.59</f>
        <v>178.59</v>
      </c>
      <c r="H38" s="31">
        <v>220</v>
      </c>
      <c r="I38" s="31">
        <f>60*3+30</f>
        <v>210</v>
      </c>
      <c r="J38" s="31">
        <v>1030</v>
      </c>
      <c r="K38" s="31">
        <f t="shared" si="0"/>
        <v>220</v>
      </c>
      <c r="L38" s="31">
        <f t="shared" si="1"/>
        <v>388.59</v>
      </c>
      <c r="M38" s="31">
        <v>36</v>
      </c>
      <c r="N38" s="33" t="s">
        <v>179</v>
      </c>
    </row>
    <row r="39" ht="25" customHeight="1" spans="1:14">
      <c r="A39" s="29">
        <v>37</v>
      </c>
      <c r="B39" s="29" t="s">
        <v>140</v>
      </c>
      <c r="C39" s="30" t="s">
        <v>208</v>
      </c>
      <c r="D39" s="29" t="s">
        <v>209</v>
      </c>
      <c r="E39" s="30" t="s">
        <v>210</v>
      </c>
      <c r="F39" s="31">
        <v>210</v>
      </c>
      <c r="G39" s="31">
        <f>60*3+28.43</f>
        <v>208.43</v>
      </c>
      <c r="H39" s="31">
        <v>0</v>
      </c>
      <c r="I39" s="31">
        <f>60*3+30</f>
        <v>210</v>
      </c>
      <c r="J39" s="31">
        <v>751</v>
      </c>
      <c r="K39" s="31">
        <f t="shared" si="0"/>
        <v>210</v>
      </c>
      <c r="L39" s="31">
        <f t="shared" si="1"/>
        <v>418.43</v>
      </c>
      <c r="M39" s="31">
        <v>37</v>
      </c>
      <c r="N39" s="33" t="s">
        <v>179</v>
      </c>
    </row>
    <row r="40" ht="25" customHeight="1" spans="1:15">
      <c r="A40" s="29">
        <v>38</v>
      </c>
      <c r="B40" s="29" t="s">
        <v>96</v>
      </c>
      <c r="C40" s="30" t="s">
        <v>211</v>
      </c>
      <c r="D40" s="29" t="s">
        <v>212</v>
      </c>
      <c r="E40" s="30" t="s">
        <v>213</v>
      </c>
      <c r="F40" s="31">
        <v>20</v>
      </c>
      <c r="G40" s="31">
        <f>60*3+30</f>
        <v>210</v>
      </c>
      <c r="H40" s="31">
        <v>180</v>
      </c>
      <c r="I40" s="31">
        <f>60*3+26.19</f>
        <v>206.19</v>
      </c>
      <c r="J40" s="31">
        <v>959</v>
      </c>
      <c r="K40" s="31">
        <f t="shared" si="0"/>
        <v>200</v>
      </c>
      <c r="L40" s="31">
        <f t="shared" si="1"/>
        <v>416.19</v>
      </c>
      <c r="M40" s="31">
        <v>38</v>
      </c>
      <c r="N40" s="33" t="s">
        <v>179</v>
      </c>
      <c r="O40" s="22"/>
    </row>
    <row r="41" ht="25" customHeight="1" spans="1:14">
      <c r="A41" s="29">
        <v>39</v>
      </c>
      <c r="B41" s="29" t="s">
        <v>87</v>
      </c>
      <c r="C41" s="30" t="s">
        <v>214</v>
      </c>
      <c r="D41" s="29" t="s">
        <v>215</v>
      </c>
      <c r="E41" s="30" t="s">
        <v>216</v>
      </c>
      <c r="F41" s="31">
        <v>20</v>
      </c>
      <c r="G41" s="31">
        <f>60*1+55</f>
        <v>115</v>
      </c>
      <c r="H41" s="31">
        <v>120</v>
      </c>
      <c r="I41" s="31">
        <f>60*1+8.5</f>
        <v>68.5</v>
      </c>
      <c r="J41" s="31">
        <v>981</v>
      </c>
      <c r="K41" s="31">
        <f t="shared" si="0"/>
        <v>140</v>
      </c>
      <c r="L41" s="31">
        <f t="shared" si="1"/>
        <v>183.5</v>
      </c>
      <c r="M41" s="31">
        <v>39</v>
      </c>
      <c r="N41" s="33" t="s">
        <v>179</v>
      </c>
    </row>
    <row r="42" ht="25" customHeight="1" spans="1:14">
      <c r="A42" s="29">
        <v>40</v>
      </c>
      <c r="B42" s="29" t="s">
        <v>107</v>
      </c>
      <c r="C42" s="30" t="s">
        <v>217</v>
      </c>
      <c r="D42" s="29" t="s">
        <v>218</v>
      </c>
      <c r="E42" s="30" t="s">
        <v>219</v>
      </c>
      <c r="F42" s="29">
        <v>0</v>
      </c>
      <c r="G42" s="29">
        <v>0</v>
      </c>
      <c r="H42" s="31">
        <v>130</v>
      </c>
      <c r="I42" s="31">
        <f>60*2+5.41</f>
        <v>125.41</v>
      </c>
      <c r="J42" s="31">
        <v>959</v>
      </c>
      <c r="K42" s="31">
        <f t="shared" si="0"/>
        <v>130</v>
      </c>
      <c r="L42" s="31">
        <f t="shared" si="1"/>
        <v>125.41</v>
      </c>
      <c r="M42" s="31">
        <v>40</v>
      </c>
      <c r="N42" s="29" t="s">
        <v>179</v>
      </c>
    </row>
    <row r="43" ht="25" customHeight="1" spans="1:15">
      <c r="A43" s="29">
        <v>41</v>
      </c>
      <c r="B43" s="29" t="s">
        <v>175</v>
      </c>
      <c r="C43" s="30" t="s">
        <v>220</v>
      </c>
      <c r="D43" s="29" t="s">
        <v>221</v>
      </c>
      <c r="E43" s="30" t="s">
        <v>178</v>
      </c>
      <c r="F43" s="31">
        <v>110</v>
      </c>
      <c r="G43" s="31">
        <f>60*1+35.56</f>
        <v>95.56</v>
      </c>
      <c r="H43" s="31">
        <v>0</v>
      </c>
      <c r="I43" s="31">
        <f>28.2</f>
        <v>28.2</v>
      </c>
      <c r="J43" s="31">
        <v>914</v>
      </c>
      <c r="K43" s="31">
        <f t="shared" si="0"/>
        <v>110</v>
      </c>
      <c r="L43" s="31">
        <f t="shared" si="1"/>
        <v>123.76</v>
      </c>
      <c r="M43" s="31">
        <v>41</v>
      </c>
      <c r="N43" s="29" t="s">
        <v>179</v>
      </c>
      <c r="O43" s="22"/>
    </row>
    <row r="44" ht="25" customHeight="1" spans="1:15">
      <c r="A44" s="29">
        <v>42</v>
      </c>
      <c r="B44" s="29" t="s">
        <v>175</v>
      </c>
      <c r="C44" s="30" t="s">
        <v>222</v>
      </c>
      <c r="D44" s="29" t="s">
        <v>223</v>
      </c>
      <c r="E44" s="30" t="s">
        <v>178</v>
      </c>
      <c r="F44" s="31">
        <v>20</v>
      </c>
      <c r="G44" s="31">
        <f>10.66</f>
        <v>10.66</v>
      </c>
      <c r="H44" s="31">
        <v>60</v>
      </c>
      <c r="I44" s="31">
        <f>45.03</f>
        <v>45.03</v>
      </c>
      <c r="J44" s="31">
        <v>825</v>
      </c>
      <c r="K44" s="31">
        <f t="shared" si="0"/>
        <v>80</v>
      </c>
      <c r="L44" s="31">
        <f t="shared" si="1"/>
        <v>55.69</v>
      </c>
      <c r="M44" s="31">
        <v>42</v>
      </c>
      <c r="N44" s="29" t="s">
        <v>179</v>
      </c>
      <c r="O44" s="22"/>
    </row>
    <row r="45" ht="25" customHeight="1" spans="1:14">
      <c r="A45" s="29">
        <v>43</v>
      </c>
      <c r="B45" s="29" t="s">
        <v>124</v>
      </c>
      <c r="C45" s="30" t="s">
        <v>224</v>
      </c>
      <c r="D45" s="29" t="s">
        <v>225</v>
      </c>
      <c r="E45" s="30" t="s">
        <v>226</v>
      </c>
      <c r="F45" s="31">
        <v>0</v>
      </c>
      <c r="G45" s="31">
        <f>14.94</f>
        <v>14.94</v>
      </c>
      <c r="H45" s="31">
        <v>60</v>
      </c>
      <c r="I45" s="31">
        <f>60*2+8.06</f>
        <v>128.06</v>
      </c>
      <c r="J45" s="31">
        <v>907</v>
      </c>
      <c r="K45" s="31">
        <f t="shared" si="0"/>
        <v>60</v>
      </c>
      <c r="L45" s="31">
        <f t="shared" si="1"/>
        <v>143</v>
      </c>
      <c r="M45" s="31">
        <v>43</v>
      </c>
      <c r="N45" s="29" t="s">
        <v>179</v>
      </c>
    </row>
    <row r="46" ht="25" customHeight="1" spans="1:15">
      <c r="A46" s="29">
        <v>44</v>
      </c>
      <c r="B46" s="29" t="s">
        <v>92</v>
      </c>
      <c r="C46" s="30" t="s">
        <v>227</v>
      </c>
      <c r="D46" s="29" t="s">
        <v>228</v>
      </c>
      <c r="E46" s="30" t="s">
        <v>229</v>
      </c>
      <c r="F46" s="31">
        <v>20</v>
      </c>
      <c r="G46" s="31">
        <f>60*3+30</f>
        <v>210</v>
      </c>
      <c r="H46" s="31">
        <v>30</v>
      </c>
      <c r="I46" s="31">
        <f>60*1+39.12</f>
        <v>99.12</v>
      </c>
      <c r="J46" s="31">
        <v>1050</v>
      </c>
      <c r="K46" s="31">
        <f t="shared" si="0"/>
        <v>50</v>
      </c>
      <c r="L46" s="31">
        <f t="shared" si="1"/>
        <v>309.12</v>
      </c>
      <c r="M46" s="31">
        <v>44</v>
      </c>
      <c r="N46" s="29" t="s">
        <v>179</v>
      </c>
      <c r="O46" s="22"/>
    </row>
    <row r="47" ht="25" customHeight="1" spans="1:14">
      <c r="A47" s="29">
        <v>45</v>
      </c>
      <c r="B47" s="29" t="s">
        <v>175</v>
      </c>
      <c r="C47" s="30" t="s">
        <v>230</v>
      </c>
      <c r="D47" s="29" t="s">
        <v>231</v>
      </c>
      <c r="E47" s="30" t="s">
        <v>178</v>
      </c>
      <c r="F47" s="31">
        <v>20</v>
      </c>
      <c r="G47" s="31">
        <f>60*2+57.34</f>
        <v>177.34</v>
      </c>
      <c r="H47" s="31">
        <v>20</v>
      </c>
      <c r="I47" s="31">
        <f>60*2+18.75</f>
        <v>138.75</v>
      </c>
      <c r="J47" s="31">
        <v>1019</v>
      </c>
      <c r="K47" s="31">
        <f t="shared" si="0"/>
        <v>40</v>
      </c>
      <c r="L47" s="31">
        <f t="shared" si="1"/>
        <v>316.09</v>
      </c>
      <c r="M47" s="31">
        <v>45</v>
      </c>
      <c r="N47" s="29" t="s">
        <v>179</v>
      </c>
    </row>
    <row r="48" ht="25" customHeight="1" spans="1:14">
      <c r="A48" s="29">
        <v>46</v>
      </c>
      <c r="B48" s="29" t="s">
        <v>183</v>
      </c>
      <c r="C48" s="30" t="s">
        <v>232</v>
      </c>
      <c r="D48" s="29" t="s">
        <v>233</v>
      </c>
      <c r="E48" s="30" t="s">
        <v>234</v>
      </c>
      <c r="F48" s="31">
        <v>20</v>
      </c>
      <c r="G48" s="31">
        <f>60*3+30</f>
        <v>210</v>
      </c>
      <c r="H48" s="31">
        <v>20</v>
      </c>
      <c r="I48" s="31">
        <f>60*3+30</f>
        <v>210</v>
      </c>
      <c r="J48" s="31">
        <v>992</v>
      </c>
      <c r="K48" s="31">
        <f t="shared" si="0"/>
        <v>40</v>
      </c>
      <c r="L48" s="31">
        <f t="shared" si="1"/>
        <v>420</v>
      </c>
      <c r="M48" s="31">
        <v>46</v>
      </c>
      <c r="N48" s="29" t="s">
        <v>179</v>
      </c>
    </row>
    <row r="49" ht="25" customHeight="1" spans="1:15">
      <c r="A49" s="29">
        <v>47</v>
      </c>
      <c r="B49" s="29" t="s">
        <v>124</v>
      </c>
      <c r="C49" s="30" t="s">
        <v>235</v>
      </c>
      <c r="D49" s="29" t="s">
        <v>236</v>
      </c>
      <c r="E49" s="30" t="s">
        <v>237</v>
      </c>
      <c r="F49" s="31">
        <v>0</v>
      </c>
      <c r="G49" s="31">
        <v>59.84</v>
      </c>
      <c r="H49" s="31">
        <v>20</v>
      </c>
      <c r="I49" s="31">
        <f>51</f>
        <v>51</v>
      </c>
      <c r="J49" s="31">
        <v>890</v>
      </c>
      <c r="K49" s="31">
        <f t="shared" si="0"/>
        <v>20</v>
      </c>
      <c r="L49" s="31">
        <f t="shared" si="1"/>
        <v>110.84</v>
      </c>
      <c r="M49" s="31">
        <v>47</v>
      </c>
      <c r="N49" s="29" t="s">
        <v>179</v>
      </c>
      <c r="O49" s="22"/>
    </row>
  </sheetData>
  <sortState ref="A3:Q52">
    <sortCondition ref="K3:K52" descending="1"/>
    <sortCondition ref="L3:L52"/>
  </sortState>
  <mergeCells count="1">
    <mergeCell ref="A1:N1"/>
  </mergeCells>
  <printOptions horizontalCentered="1"/>
  <pageMargins left="0.393700787401575" right="0.393700787401575" top="0.393700787401575" bottom="0.393700787401575" header="0" footer="0"/>
  <pageSetup paperSize="9" scale="7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D19" sqref="D19"/>
    </sheetView>
  </sheetViews>
  <sheetFormatPr defaultColWidth="9.14285714285714" defaultRowHeight="12.75"/>
  <cols>
    <col min="3" max="3" width="34" customWidth="1"/>
    <col min="4" max="4" width="14.1428571428571" style="12" customWidth="1"/>
    <col min="5" max="5" width="13.7142857142857" style="13" customWidth="1"/>
  </cols>
  <sheetData>
    <row r="1" ht="31" customHeight="1" spans="1:14">
      <c r="A1" s="14" t="s">
        <v>72</v>
      </c>
      <c r="B1" s="14"/>
      <c r="C1" s="15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</row>
    <row r="2" ht="25" customHeight="1" spans="1:14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5" t="s">
        <v>82</v>
      </c>
      <c r="K2" s="5" t="s">
        <v>83</v>
      </c>
      <c r="L2" s="5" t="s">
        <v>84</v>
      </c>
      <c r="M2" s="5" t="s">
        <v>85</v>
      </c>
      <c r="N2" s="5" t="s">
        <v>86</v>
      </c>
    </row>
    <row r="3" ht="25" customHeight="1" spans="1:14">
      <c r="A3" s="10">
        <v>1</v>
      </c>
      <c r="B3" s="6" t="s">
        <v>96</v>
      </c>
      <c r="C3" s="7" t="s">
        <v>238</v>
      </c>
      <c r="D3" s="8" t="s">
        <v>239</v>
      </c>
      <c r="E3" s="9" t="s">
        <v>240</v>
      </c>
      <c r="F3" s="6">
        <v>510</v>
      </c>
      <c r="G3" s="6">
        <f>60*1+54.91</f>
        <v>114.91</v>
      </c>
      <c r="H3" s="6">
        <v>510</v>
      </c>
      <c r="I3" s="6">
        <f>60*1+59.13</f>
        <v>119.13</v>
      </c>
      <c r="J3" s="6">
        <v>1036</v>
      </c>
      <c r="K3" s="6">
        <f t="shared" ref="K3:K35" si="0">F3+H3</f>
        <v>1020</v>
      </c>
      <c r="L3" s="6">
        <f t="shared" ref="L3:L35" si="1">G3+I3</f>
        <v>234.04</v>
      </c>
      <c r="M3" s="6">
        <v>1</v>
      </c>
      <c r="N3" s="11" t="s">
        <v>91</v>
      </c>
    </row>
    <row r="4" ht="25" customHeight="1" spans="1:14">
      <c r="A4" s="10">
        <v>2</v>
      </c>
      <c r="B4" s="6" t="s">
        <v>96</v>
      </c>
      <c r="C4" s="7" t="s">
        <v>241</v>
      </c>
      <c r="D4" s="8" t="s">
        <v>242</v>
      </c>
      <c r="E4" s="9" t="s">
        <v>243</v>
      </c>
      <c r="F4" s="6">
        <v>510</v>
      </c>
      <c r="G4" s="6">
        <f>60*2+18.25</f>
        <v>138.25</v>
      </c>
      <c r="H4" s="6">
        <v>510</v>
      </c>
      <c r="I4" s="6">
        <f>60*2+31.97</f>
        <v>151.97</v>
      </c>
      <c r="J4" s="6">
        <v>1032</v>
      </c>
      <c r="K4" s="6">
        <f t="shared" si="0"/>
        <v>1020</v>
      </c>
      <c r="L4" s="6">
        <f t="shared" si="1"/>
        <v>290.22</v>
      </c>
      <c r="M4" s="6">
        <v>2</v>
      </c>
      <c r="N4" s="11" t="s">
        <v>91</v>
      </c>
    </row>
    <row r="5" ht="25" customHeight="1" spans="1:14">
      <c r="A5" s="10">
        <v>3</v>
      </c>
      <c r="B5" s="6" t="s">
        <v>111</v>
      </c>
      <c r="C5" s="7" t="s">
        <v>244</v>
      </c>
      <c r="D5" s="8" t="s">
        <v>245</v>
      </c>
      <c r="E5" s="9" t="s">
        <v>246</v>
      </c>
      <c r="F5" s="6">
        <v>510</v>
      </c>
      <c r="G5" s="6">
        <f>60*2+28.88</f>
        <v>148.88</v>
      </c>
      <c r="H5" s="6">
        <v>510</v>
      </c>
      <c r="I5" s="6">
        <f>60*2+23.16</f>
        <v>143.16</v>
      </c>
      <c r="J5" s="6">
        <v>1003</v>
      </c>
      <c r="K5" s="6">
        <f t="shared" si="0"/>
        <v>1020</v>
      </c>
      <c r="L5" s="6">
        <f t="shared" si="1"/>
        <v>292.04</v>
      </c>
      <c r="M5" s="6">
        <v>3</v>
      </c>
      <c r="N5" s="11" t="s">
        <v>91</v>
      </c>
    </row>
    <row r="6" ht="25" customHeight="1" spans="1:14">
      <c r="A6" s="10">
        <v>4</v>
      </c>
      <c r="B6" s="6" t="s">
        <v>87</v>
      </c>
      <c r="C6" s="7" t="s">
        <v>247</v>
      </c>
      <c r="D6" s="8" t="s">
        <v>248</v>
      </c>
      <c r="E6" s="9" t="s">
        <v>249</v>
      </c>
      <c r="F6" s="6">
        <v>510</v>
      </c>
      <c r="G6" s="6">
        <f>60*2+45.1</f>
        <v>165.1</v>
      </c>
      <c r="H6" s="6">
        <v>510</v>
      </c>
      <c r="I6" s="6">
        <f>60*2+7.44</f>
        <v>127.44</v>
      </c>
      <c r="J6" s="6">
        <v>963</v>
      </c>
      <c r="K6" s="6">
        <f t="shared" si="0"/>
        <v>1020</v>
      </c>
      <c r="L6" s="6">
        <f t="shared" si="1"/>
        <v>292.54</v>
      </c>
      <c r="M6" s="6">
        <v>4</v>
      </c>
      <c r="N6" s="11" t="s">
        <v>91</v>
      </c>
    </row>
    <row r="7" ht="25" customHeight="1" spans="1:14">
      <c r="A7" s="10">
        <v>5</v>
      </c>
      <c r="B7" s="6" t="s">
        <v>87</v>
      </c>
      <c r="C7" s="7" t="s">
        <v>250</v>
      </c>
      <c r="D7" s="8" t="s">
        <v>251</v>
      </c>
      <c r="E7" s="9" t="s">
        <v>252</v>
      </c>
      <c r="F7" s="6">
        <v>510</v>
      </c>
      <c r="G7" s="6">
        <f>60*2+7.75</f>
        <v>127.75</v>
      </c>
      <c r="H7" s="6">
        <v>510</v>
      </c>
      <c r="I7" s="6">
        <f>60*2+55.62</f>
        <v>175.62</v>
      </c>
      <c r="J7" s="6">
        <v>973</v>
      </c>
      <c r="K7" s="6">
        <f t="shared" si="0"/>
        <v>1020</v>
      </c>
      <c r="L7" s="6">
        <f t="shared" si="1"/>
        <v>303.37</v>
      </c>
      <c r="M7" s="6">
        <v>5</v>
      </c>
      <c r="N7" s="11" t="s">
        <v>91</v>
      </c>
    </row>
    <row r="8" ht="25" customHeight="1" spans="1:14">
      <c r="A8" s="10">
        <v>6</v>
      </c>
      <c r="B8" s="6" t="s">
        <v>100</v>
      </c>
      <c r="C8" s="7" t="s">
        <v>253</v>
      </c>
      <c r="D8" s="8" t="s">
        <v>254</v>
      </c>
      <c r="E8" s="7" t="s">
        <v>255</v>
      </c>
      <c r="F8" s="6">
        <v>510</v>
      </c>
      <c r="G8" s="6">
        <f>60*2+48.78</f>
        <v>168.78</v>
      </c>
      <c r="H8" s="6">
        <v>510</v>
      </c>
      <c r="I8" s="6">
        <f>60*2+44.41</f>
        <v>164.41</v>
      </c>
      <c r="J8" s="6">
        <v>1007</v>
      </c>
      <c r="K8" s="6">
        <f t="shared" si="0"/>
        <v>1020</v>
      </c>
      <c r="L8" s="6">
        <f t="shared" si="1"/>
        <v>333.19</v>
      </c>
      <c r="M8" s="6">
        <v>6</v>
      </c>
      <c r="N8" s="11" t="s">
        <v>123</v>
      </c>
    </row>
    <row r="9" ht="25" customHeight="1" spans="1:14">
      <c r="A9" s="10">
        <v>7</v>
      </c>
      <c r="B9" s="6" t="s">
        <v>107</v>
      </c>
      <c r="C9" s="7" t="s">
        <v>256</v>
      </c>
      <c r="D9" s="8" t="s">
        <v>257</v>
      </c>
      <c r="E9" s="7" t="s">
        <v>258</v>
      </c>
      <c r="F9" s="6">
        <v>470</v>
      </c>
      <c r="G9" s="6">
        <f>60*3+17.28</f>
        <v>197.28</v>
      </c>
      <c r="H9" s="6">
        <v>510</v>
      </c>
      <c r="I9" s="6">
        <f>60*2+46.06</f>
        <v>166.06</v>
      </c>
      <c r="J9" s="6">
        <v>956</v>
      </c>
      <c r="K9" s="6">
        <f t="shared" si="0"/>
        <v>980</v>
      </c>
      <c r="L9" s="6">
        <f t="shared" si="1"/>
        <v>363.34</v>
      </c>
      <c r="M9" s="6">
        <v>7</v>
      </c>
      <c r="N9" s="11" t="s">
        <v>123</v>
      </c>
    </row>
    <row r="10" ht="25" customHeight="1" spans="1:14">
      <c r="A10" s="10">
        <v>8</v>
      </c>
      <c r="B10" s="6" t="s">
        <v>259</v>
      </c>
      <c r="C10" s="7" t="s">
        <v>260</v>
      </c>
      <c r="D10" s="8" t="s">
        <v>261</v>
      </c>
      <c r="E10" s="7" t="s">
        <v>262</v>
      </c>
      <c r="F10" s="6">
        <v>430</v>
      </c>
      <c r="G10" s="6">
        <f>60*2+28.81</f>
        <v>148.81</v>
      </c>
      <c r="H10" s="6">
        <v>510</v>
      </c>
      <c r="I10" s="6">
        <f>60*2+22.22</f>
        <v>142.22</v>
      </c>
      <c r="J10" s="6">
        <v>1034</v>
      </c>
      <c r="K10" s="6">
        <f t="shared" si="0"/>
        <v>940</v>
      </c>
      <c r="L10" s="6">
        <f t="shared" si="1"/>
        <v>291.03</v>
      </c>
      <c r="M10" s="6">
        <v>8</v>
      </c>
      <c r="N10" s="11" t="s">
        <v>123</v>
      </c>
    </row>
    <row r="11" ht="25" customHeight="1" spans="1:14">
      <c r="A11" s="10">
        <v>9</v>
      </c>
      <c r="B11" s="6" t="s">
        <v>100</v>
      </c>
      <c r="C11" s="7" t="s">
        <v>263</v>
      </c>
      <c r="D11" s="8" t="s">
        <v>264</v>
      </c>
      <c r="E11" s="9" t="s">
        <v>265</v>
      </c>
      <c r="F11" s="11">
        <v>510</v>
      </c>
      <c r="G11" s="11">
        <f>60*2+57.03</f>
        <v>177.03</v>
      </c>
      <c r="H11" s="11">
        <v>410</v>
      </c>
      <c r="I11" s="11">
        <f t="shared" ref="I11:I13" si="2">60*3+30</f>
        <v>210</v>
      </c>
      <c r="J11" s="11">
        <v>1022</v>
      </c>
      <c r="K11" s="6">
        <f t="shared" si="0"/>
        <v>920</v>
      </c>
      <c r="L11" s="6">
        <f t="shared" si="1"/>
        <v>387.03</v>
      </c>
      <c r="M11" s="6">
        <v>9</v>
      </c>
      <c r="N11" s="11" t="s">
        <v>123</v>
      </c>
    </row>
    <row r="12" ht="25" customHeight="1" spans="1:14">
      <c r="A12" s="10">
        <v>10</v>
      </c>
      <c r="B12" s="6" t="s">
        <v>87</v>
      </c>
      <c r="C12" s="7" t="s">
        <v>266</v>
      </c>
      <c r="D12" s="8" t="s">
        <v>267</v>
      </c>
      <c r="E12" s="9" t="s">
        <v>268</v>
      </c>
      <c r="F12" s="6">
        <v>510</v>
      </c>
      <c r="G12" s="6">
        <f>60*1+59.91</f>
        <v>119.91</v>
      </c>
      <c r="H12" s="6">
        <v>350</v>
      </c>
      <c r="I12" s="6">
        <f t="shared" si="2"/>
        <v>210</v>
      </c>
      <c r="J12" s="6">
        <v>948</v>
      </c>
      <c r="K12" s="6">
        <f t="shared" si="0"/>
        <v>860</v>
      </c>
      <c r="L12" s="6">
        <f t="shared" si="1"/>
        <v>329.91</v>
      </c>
      <c r="M12" s="6">
        <v>10</v>
      </c>
      <c r="N12" s="11" t="s">
        <v>123</v>
      </c>
    </row>
    <row r="13" ht="25" customHeight="1" spans="1:14">
      <c r="A13" s="10">
        <v>11</v>
      </c>
      <c r="B13" s="6" t="s">
        <v>111</v>
      </c>
      <c r="C13" s="7" t="s">
        <v>269</v>
      </c>
      <c r="D13" s="8" t="s">
        <v>270</v>
      </c>
      <c r="E13" s="7" t="s">
        <v>271</v>
      </c>
      <c r="F13" s="6">
        <v>460</v>
      </c>
      <c r="G13" s="6">
        <f>60*2+22.63</f>
        <v>142.63</v>
      </c>
      <c r="H13" s="6">
        <v>400</v>
      </c>
      <c r="I13" s="6">
        <f t="shared" si="2"/>
        <v>210</v>
      </c>
      <c r="J13" s="6">
        <v>1035</v>
      </c>
      <c r="K13" s="6">
        <f t="shared" si="0"/>
        <v>860</v>
      </c>
      <c r="L13" s="6">
        <f t="shared" si="1"/>
        <v>352.63</v>
      </c>
      <c r="M13" s="6">
        <v>11</v>
      </c>
      <c r="N13" s="11" t="s">
        <v>123</v>
      </c>
    </row>
    <row r="14" ht="25" customHeight="1" spans="1:14">
      <c r="A14" s="10">
        <v>12</v>
      </c>
      <c r="B14" s="6" t="s">
        <v>119</v>
      </c>
      <c r="C14" s="7" t="s">
        <v>272</v>
      </c>
      <c r="D14" s="8" t="s">
        <v>273</v>
      </c>
      <c r="E14" s="9" t="s">
        <v>274</v>
      </c>
      <c r="F14" s="6">
        <v>480</v>
      </c>
      <c r="G14" s="6">
        <f>60*2+46.97</f>
        <v>166.97</v>
      </c>
      <c r="H14" s="6">
        <v>370</v>
      </c>
      <c r="I14" s="6">
        <f>60*2+54.79</f>
        <v>174.79</v>
      </c>
      <c r="J14" s="6">
        <v>948</v>
      </c>
      <c r="K14" s="6">
        <f t="shared" si="0"/>
        <v>850</v>
      </c>
      <c r="L14" s="6">
        <f t="shared" si="1"/>
        <v>341.76</v>
      </c>
      <c r="M14" s="6">
        <v>12</v>
      </c>
      <c r="N14" s="11" t="s">
        <v>123</v>
      </c>
    </row>
    <row r="15" ht="25" customHeight="1" spans="1:14">
      <c r="A15" s="10">
        <v>13</v>
      </c>
      <c r="B15" s="6" t="s">
        <v>107</v>
      </c>
      <c r="C15" s="7" t="s">
        <v>275</v>
      </c>
      <c r="D15" s="8" t="s">
        <v>276</v>
      </c>
      <c r="E15" s="9" t="s">
        <v>277</v>
      </c>
      <c r="F15" s="6">
        <v>280</v>
      </c>
      <c r="G15" s="6">
        <f>60*3+20.66</f>
        <v>200.66</v>
      </c>
      <c r="H15" s="6">
        <v>510</v>
      </c>
      <c r="I15" s="6">
        <f>60*2+54.78</f>
        <v>174.78</v>
      </c>
      <c r="J15" s="6">
        <v>977</v>
      </c>
      <c r="K15" s="6">
        <f t="shared" si="0"/>
        <v>790</v>
      </c>
      <c r="L15" s="6">
        <f t="shared" si="1"/>
        <v>375.44</v>
      </c>
      <c r="M15" s="6">
        <v>13</v>
      </c>
      <c r="N15" s="11" t="s">
        <v>123</v>
      </c>
    </row>
    <row r="16" ht="25" customHeight="1" spans="1:14">
      <c r="A16" s="10">
        <v>14</v>
      </c>
      <c r="B16" s="6" t="s">
        <v>259</v>
      </c>
      <c r="C16" s="7" t="s">
        <v>278</v>
      </c>
      <c r="D16" s="8" t="s">
        <v>279</v>
      </c>
      <c r="E16" s="7" t="s">
        <v>280</v>
      </c>
      <c r="F16" s="6">
        <v>380</v>
      </c>
      <c r="G16" s="6">
        <f>60*3+30</f>
        <v>210</v>
      </c>
      <c r="H16" s="6">
        <v>380</v>
      </c>
      <c r="I16" s="6">
        <f>60*3+30</f>
        <v>210</v>
      </c>
      <c r="J16" s="6">
        <v>998</v>
      </c>
      <c r="K16" s="6">
        <f t="shared" si="0"/>
        <v>760</v>
      </c>
      <c r="L16" s="6">
        <f t="shared" si="1"/>
        <v>420</v>
      </c>
      <c r="M16" s="6">
        <v>14</v>
      </c>
      <c r="N16" s="11" t="s">
        <v>123</v>
      </c>
    </row>
    <row r="17" ht="25" customHeight="1" spans="1:14">
      <c r="A17" s="10">
        <v>15</v>
      </c>
      <c r="B17" s="16" t="s">
        <v>175</v>
      </c>
      <c r="C17" s="17" t="s">
        <v>281</v>
      </c>
      <c r="D17" s="18" t="s">
        <v>282</v>
      </c>
      <c r="E17" s="19" t="s">
        <v>283</v>
      </c>
      <c r="F17" s="16">
        <v>210</v>
      </c>
      <c r="G17" s="16">
        <f>60*3+30.44</f>
        <v>210.44</v>
      </c>
      <c r="H17" s="16">
        <v>460</v>
      </c>
      <c r="I17" s="16">
        <f>60*2+39.32</f>
        <v>159.32</v>
      </c>
      <c r="J17" s="16">
        <v>994</v>
      </c>
      <c r="K17" s="6">
        <f t="shared" si="0"/>
        <v>670</v>
      </c>
      <c r="L17" s="6">
        <f t="shared" si="1"/>
        <v>369.76</v>
      </c>
      <c r="M17" s="6">
        <v>15</v>
      </c>
      <c r="N17" s="11" t="s">
        <v>123</v>
      </c>
    </row>
    <row r="18" ht="25" customHeight="1" spans="1:14">
      <c r="A18" s="10">
        <v>16</v>
      </c>
      <c r="B18" s="16" t="s">
        <v>284</v>
      </c>
      <c r="C18" s="17" t="s">
        <v>285</v>
      </c>
      <c r="D18" s="18" t="s">
        <v>286</v>
      </c>
      <c r="E18" s="17" t="s">
        <v>287</v>
      </c>
      <c r="F18" s="16">
        <v>310</v>
      </c>
      <c r="G18" s="16">
        <f>60*3+2.31</f>
        <v>182.31</v>
      </c>
      <c r="H18" s="16">
        <v>360</v>
      </c>
      <c r="I18" s="16">
        <f>60*3+17.52</f>
        <v>197.52</v>
      </c>
      <c r="J18" s="16">
        <v>978</v>
      </c>
      <c r="K18" s="6">
        <f t="shared" si="0"/>
        <v>670</v>
      </c>
      <c r="L18" s="6">
        <f t="shared" si="1"/>
        <v>379.83</v>
      </c>
      <c r="M18" s="6">
        <v>16</v>
      </c>
      <c r="N18" s="11" t="s">
        <v>123</v>
      </c>
    </row>
    <row r="19" ht="25" customHeight="1" spans="1:14">
      <c r="A19" s="10">
        <v>17</v>
      </c>
      <c r="B19" s="16" t="s">
        <v>140</v>
      </c>
      <c r="C19" s="17" t="s">
        <v>288</v>
      </c>
      <c r="D19" s="18" t="s">
        <v>289</v>
      </c>
      <c r="E19" s="19" t="s">
        <v>290</v>
      </c>
      <c r="F19" s="16">
        <v>310</v>
      </c>
      <c r="G19" s="16">
        <f>60*3+9.47</f>
        <v>189.47</v>
      </c>
      <c r="H19" s="16">
        <v>290</v>
      </c>
      <c r="I19" s="16">
        <f>60*3+20.78</f>
        <v>200.78</v>
      </c>
      <c r="J19" s="16">
        <v>1021</v>
      </c>
      <c r="K19" s="6">
        <f t="shared" si="0"/>
        <v>600</v>
      </c>
      <c r="L19" s="6">
        <f t="shared" si="1"/>
        <v>390.25</v>
      </c>
      <c r="M19" s="6">
        <v>17</v>
      </c>
      <c r="N19" s="11" t="s">
        <v>123</v>
      </c>
    </row>
    <row r="20" ht="25" customHeight="1" spans="1:14">
      <c r="A20" s="10">
        <v>18</v>
      </c>
      <c r="B20" s="16" t="s">
        <v>87</v>
      </c>
      <c r="C20" s="17" t="s">
        <v>291</v>
      </c>
      <c r="D20" s="18" t="s">
        <v>292</v>
      </c>
      <c r="E20" s="19" t="s">
        <v>293</v>
      </c>
      <c r="F20" s="16">
        <v>370</v>
      </c>
      <c r="G20" s="16">
        <f>60*3+23.72</f>
        <v>203.72</v>
      </c>
      <c r="H20" s="16">
        <v>200</v>
      </c>
      <c r="I20" s="16">
        <f>60*3+30</f>
        <v>210</v>
      </c>
      <c r="J20" s="16">
        <v>1018</v>
      </c>
      <c r="K20" s="6">
        <f t="shared" si="0"/>
        <v>570</v>
      </c>
      <c r="L20" s="6">
        <f t="shared" si="1"/>
        <v>413.72</v>
      </c>
      <c r="M20" s="6">
        <v>18</v>
      </c>
      <c r="N20" s="20" t="s">
        <v>179</v>
      </c>
    </row>
    <row r="21" ht="25" customHeight="1" spans="1:14">
      <c r="A21" s="10">
        <v>19</v>
      </c>
      <c r="B21" s="16" t="s">
        <v>140</v>
      </c>
      <c r="C21" s="17" t="s">
        <v>294</v>
      </c>
      <c r="D21" s="18" t="s">
        <v>295</v>
      </c>
      <c r="E21" s="19" t="s">
        <v>296</v>
      </c>
      <c r="F21" s="16">
        <v>270</v>
      </c>
      <c r="G21" s="16">
        <f>60*2+13.87</f>
        <v>133.87</v>
      </c>
      <c r="H21" s="16">
        <v>230</v>
      </c>
      <c r="I21" s="16">
        <f>60*3+14.72</f>
        <v>194.72</v>
      </c>
      <c r="J21" s="16">
        <v>1014</v>
      </c>
      <c r="K21" s="6">
        <f t="shared" si="0"/>
        <v>500</v>
      </c>
      <c r="L21" s="6">
        <f t="shared" si="1"/>
        <v>328.59</v>
      </c>
      <c r="M21" s="6">
        <v>19</v>
      </c>
      <c r="N21" s="20" t="s">
        <v>179</v>
      </c>
    </row>
    <row r="22" ht="25" customHeight="1" spans="1:14">
      <c r="A22" s="10">
        <v>20</v>
      </c>
      <c r="B22" s="16" t="s">
        <v>124</v>
      </c>
      <c r="C22" s="17" t="s">
        <v>297</v>
      </c>
      <c r="D22" s="18" t="s">
        <v>298</v>
      </c>
      <c r="E22" s="19" t="s">
        <v>299</v>
      </c>
      <c r="F22" s="16">
        <v>260</v>
      </c>
      <c r="G22" s="16">
        <f>60*3+30</f>
        <v>210</v>
      </c>
      <c r="H22" s="16">
        <v>220</v>
      </c>
      <c r="I22" s="16">
        <f>60*3+13.69</f>
        <v>193.69</v>
      </c>
      <c r="J22" s="16">
        <v>1020</v>
      </c>
      <c r="K22" s="6">
        <f t="shared" si="0"/>
        <v>480</v>
      </c>
      <c r="L22" s="6">
        <f t="shared" si="1"/>
        <v>403.69</v>
      </c>
      <c r="M22" s="6">
        <v>20</v>
      </c>
      <c r="N22" s="20" t="s">
        <v>179</v>
      </c>
    </row>
    <row r="23" ht="25" customHeight="1" spans="1:14">
      <c r="A23" s="10">
        <v>21</v>
      </c>
      <c r="B23" s="16" t="s">
        <v>284</v>
      </c>
      <c r="C23" s="17" t="s">
        <v>300</v>
      </c>
      <c r="D23" s="18" t="s">
        <v>301</v>
      </c>
      <c r="E23" s="19" t="s">
        <v>302</v>
      </c>
      <c r="F23" s="16">
        <v>200</v>
      </c>
      <c r="G23" s="16">
        <f>60*3+30.16</f>
        <v>210.16</v>
      </c>
      <c r="H23" s="16">
        <v>280</v>
      </c>
      <c r="I23" s="16">
        <f>60*3+30</f>
        <v>210</v>
      </c>
      <c r="J23" s="16">
        <v>1033</v>
      </c>
      <c r="K23" s="6">
        <f t="shared" si="0"/>
        <v>480</v>
      </c>
      <c r="L23" s="6">
        <f t="shared" si="1"/>
        <v>420.16</v>
      </c>
      <c r="M23" s="6">
        <v>21</v>
      </c>
      <c r="N23" s="20" t="s">
        <v>179</v>
      </c>
    </row>
    <row r="24" ht="25" customHeight="1" spans="1:14">
      <c r="A24" s="10">
        <v>22</v>
      </c>
      <c r="B24" s="16" t="s">
        <v>259</v>
      </c>
      <c r="C24" s="17" t="s">
        <v>303</v>
      </c>
      <c r="D24" s="18" t="s">
        <v>304</v>
      </c>
      <c r="E24" s="17" t="s">
        <v>305</v>
      </c>
      <c r="F24" s="16">
        <v>140</v>
      </c>
      <c r="G24" s="16">
        <f>60*3+5.85</f>
        <v>185.85</v>
      </c>
      <c r="H24" s="16">
        <v>320</v>
      </c>
      <c r="I24" s="16">
        <f>60*2+56.1</f>
        <v>176.1</v>
      </c>
      <c r="J24" s="16">
        <v>1031</v>
      </c>
      <c r="K24" s="6">
        <f t="shared" si="0"/>
        <v>460</v>
      </c>
      <c r="L24" s="6">
        <f t="shared" si="1"/>
        <v>361.95</v>
      </c>
      <c r="M24" s="6">
        <v>22</v>
      </c>
      <c r="N24" s="20" t="s">
        <v>179</v>
      </c>
    </row>
    <row r="25" ht="25" customHeight="1" spans="1:14">
      <c r="A25" s="10">
        <v>23</v>
      </c>
      <c r="B25" s="16" t="s">
        <v>140</v>
      </c>
      <c r="C25" s="17" t="s">
        <v>306</v>
      </c>
      <c r="D25" s="18" t="s">
        <v>307</v>
      </c>
      <c r="E25" s="19" t="s">
        <v>308</v>
      </c>
      <c r="F25" s="16">
        <v>230</v>
      </c>
      <c r="G25" s="16">
        <f>60*3+25.66</f>
        <v>205.66</v>
      </c>
      <c r="H25" s="16">
        <v>210</v>
      </c>
      <c r="I25" s="16">
        <f>60*1+26</f>
        <v>86</v>
      </c>
      <c r="J25" s="16">
        <v>1028</v>
      </c>
      <c r="K25" s="6">
        <f t="shared" si="0"/>
        <v>440</v>
      </c>
      <c r="L25" s="6">
        <f t="shared" si="1"/>
        <v>291.66</v>
      </c>
      <c r="M25" s="6">
        <v>23</v>
      </c>
      <c r="N25" s="20" t="s">
        <v>179</v>
      </c>
    </row>
    <row r="26" ht="25" customHeight="1" spans="1:14">
      <c r="A26" s="10">
        <v>24</v>
      </c>
      <c r="B26" s="16" t="s">
        <v>100</v>
      </c>
      <c r="C26" s="17" t="s">
        <v>309</v>
      </c>
      <c r="D26" s="18" t="s">
        <v>310</v>
      </c>
      <c r="E26" s="19" t="s">
        <v>311</v>
      </c>
      <c r="F26" s="16">
        <v>160</v>
      </c>
      <c r="G26" s="16">
        <f>60*1+29.03</f>
        <v>89.03</v>
      </c>
      <c r="H26" s="16">
        <v>270</v>
      </c>
      <c r="I26" s="16">
        <f>60*3+30</f>
        <v>210</v>
      </c>
      <c r="J26" s="16">
        <v>1032</v>
      </c>
      <c r="K26" s="6">
        <f t="shared" si="0"/>
        <v>430</v>
      </c>
      <c r="L26" s="6">
        <f t="shared" si="1"/>
        <v>299.03</v>
      </c>
      <c r="M26" s="6">
        <v>24</v>
      </c>
      <c r="N26" s="20" t="s">
        <v>179</v>
      </c>
    </row>
    <row r="27" ht="25" customHeight="1" spans="1:14">
      <c r="A27" s="10">
        <v>25</v>
      </c>
      <c r="B27" s="16" t="s">
        <v>284</v>
      </c>
      <c r="C27" s="17" t="s">
        <v>312</v>
      </c>
      <c r="D27" s="18" t="s">
        <v>313</v>
      </c>
      <c r="E27" s="19" t="s">
        <v>314</v>
      </c>
      <c r="F27" s="16">
        <v>170</v>
      </c>
      <c r="G27" s="16">
        <f>38.57</f>
        <v>38.57</v>
      </c>
      <c r="H27" s="16">
        <v>180</v>
      </c>
      <c r="I27" s="16">
        <f>60*3+23.97</f>
        <v>203.97</v>
      </c>
      <c r="J27" s="16">
        <v>1065</v>
      </c>
      <c r="K27" s="6">
        <f t="shared" si="0"/>
        <v>350</v>
      </c>
      <c r="L27" s="6">
        <f t="shared" si="1"/>
        <v>242.54</v>
      </c>
      <c r="M27" s="6">
        <v>25</v>
      </c>
      <c r="N27" s="20" t="s">
        <v>179</v>
      </c>
    </row>
    <row r="28" ht="25" customHeight="1" spans="1:14">
      <c r="A28" s="10">
        <v>26</v>
      </c>
      <c r="B28" s="16" t="s">
        <v>107</v>
      </c>
      <c r="C28" s="17" t="s">
        <v>315</v>
      </c>
      <c r="D28" s="18" t="s">
        <v>316</v>
      </c>
      <c r="E28" s="19" t="s">
        <v>317</v>
      </c>
      <c r="F28" s="16">
        <v>0</v>
      </c>
      <c r="G28" s="16">
        <f>0.01</f>
        <v>0.01</v>
      </c>
      <c r="H28" s="16">
        <v>290</v>
      </c>
      <c r="I28" s="16">
        <f>60*2+23.09</f>
        <v>143.09</v>
      </c>
      <c r="J28" s="16">
        <v>1040</v>
      </c>
      <c r="K28" s="6">
        <f t="shared" si="0"/>
        <v>290</v>
      </c>
      <c r="L28" s="6">
        <f t="shared" si="1"/>
        <v>143.1</v>
      </c>
      <c r="M28" s="6">
        <v>26</v>
      </c>
      <c r="N28" s="20" t="s">
        <v>179</v>
      </c>
    </row>
    <row r="29" ht="25" customHeight="1" spans="1:14">
      <c r="A29" s="10">
        <v>27</v>
      </c>
      <c r="B29" s="16" t="s">
        <v>124</v>
      </c>
      <c r="C29" s="17" t="s">
        <v>318</v>
      </c>
      <c r="D29" s="18" t="s">
        <v>319</v>
      </c>
      <c r="E29" s="17" t="s">
        <v>320</v>
      </c>
      <c r="F29" s="16">
        <v>180</v>
      </c>
      <c r="G29" s="16">
        <f>60*1+3.37</f>
        <v>63.37</v>
      </c>
      <c r="H29" s="16">
        <v>100</v>
      </c>
      <c r="I29" s="16">
        <f>60*1+49.21</f>
        <v>109.21</v>
      </c>
      <c r="J29" s="16">
        <v>916</v>
      </c>
      <c r="K29" s="6">
        <f t="shared" si="0"/>
        <v>280</v>
      </c>
      <c r="L29" s="6">
        <f t="shared" si="1"/>
        <v>172.58</v>
      </c>
      <c r="M29" s="6">
        <v>27</v>
      </c>
      <c r="N29" s="20" t="s">
        <v>179</v>
      </c>
    </row>
    <row r="30" ht="25" customHeight="1" spans="1:14">
      <c r="A30" s="10">
        <v>28</v>
      </c>
      <c r="B30" s="16" t="s">
        <v>175</v>
      </c>
      <c r="C30" s="17" t="s">
        <v>321</v>
      </c>
      <c r="D30" s="18" t="s">
        <v>322</v>
      </c>
      <c r="E30" s="19" t="s">
        <v>323</v>
      </c>
      <c r="F30" s="16">
        <v>270</v>
      </c>
      <c r="G30" s="16">
        <f>60*1+55.03</f>
        <v>115.03</v>
      </c>
      <c r="H30" s="16">
        <v>0</v>
      </c>
      <c r="I30" s="16">
        <v>0.01</v>
      </c>
      <c r="J30" s="16">
        <v>941</v>
      </c>
      <c r="K30" s="6">
        <f t="shared" si="0"/>
        <v>270</v>
      </c>
      <c r="L30" s="6">
        <f t="shared" si="1"/>
        <v>115.04</v>
      </c>
      <c r="M30" s="6">
        <v>28</v>
      </c>
      <c r="N30" s="20" t="s">
        <v>179</v>
      </c>
    </row>
    <row r="31" ht="25" customHeight="1" spans="1:14">
      <c r="A31" s="10">
        <v>29</v>
      </c>
      <c r="B31" s="16" t="s">
        <v>100</v>
      </c>
      <c r="C31" s="17" t="s">
        <v>324</v>
      </c>
      <c r="D31" s="18" t="s">
        <v>325</v>
      </c>
      <c r="E31" s="19" t="s">
        <v>326</v>
      </c>
      <c r="F31" s="16">
        <v>270</v>
      </c>
      <c r="G31" s="16">
        <f>60*2+45.34</f>
        <v>165.34</v>
      </c>
      <c r="H31" s="16">
        <v>0</v>
      </c>
      <c r="I31" s="16">
        <f>3.44</f>
        <v>3.44</v>
      </c>
      <c r="J31" s="16">
        <v>1033</v>
      </c>
      <c r="K31" s="6">
        <f t="shared" si="0"/>
        <v>270</v>
      </c>
      <c r="L31" s="6">
        <f t="shared" si="1"/>
        <v>168.78</v>
      </c>
      <c r="M31" s="6">
        <v>29</v>
      </c>
      <c r="N31" s="20" t="s">
        <v>179</v>
      </c>
    </row>
    <row r="32" ht="25" customHeight="1" spans="1:14">
      <c r="A32" s="10">
        <v>30</v>
      </c>
      <c r="B32" s="16" t="s">
        <v>92</v>
      </c>
      <c r="C32" s="17" t="s">
        <v>327</v>
      </c>
      <c r="D32" s="18" t="s">
        <v>328</v>
      </c>
      <c r="E32" s="19" t="s">
        <v>329</v>
      </c>
      <c r="F32" s="16">
        <v>0</v>
      </c>
      <c r="G32" s="16">
        <f>60*2+4.78</f>
        <v>124.78</v>
      </c>
      <c r="H32" s="16">
        <v>240</v>
      </c>
      <c r="I32" s="16">
        <f>60*3+25.81</f>
        <v>205.81</v>
      </c>
      <c r="J32" s="6">
        <v>1015</v>
      </c>
      <c r="K32" s="6">
        <f t="shared" si="0"/>
        <v>240</v>
      </c>
      <c r="L32" s="6">
        <f t="shared" si="1"/>
        <v>330.59</v>
      </c>
      <c r="M32" s="6">
        <v>30</v>
      </c>
      <c r="N32" s="11" t="s">
        <v>179</v>
      </c>
    </row>
    <row r="33" ht="25" customHeight="1" spans="1:14">
      <c r="A33" s="10">
        <v>31</v>
      </c>
      <c r="B33" s="16" t="s">
        <v>175</v>
      </c>
      <c r="C33" s="17" t="s">
        <v>330</v>
      </c>
      <c r="D33" s="18" t="s">
        <v>331</v>
      </c>
      <c r="E33" s="19" t="s">
        <v>332</v>
      </c>
      <c r="F33" s="16">
        <v>0</v>
      </c>
      <c r="G33" s="16">
        <f>4.9</f>
        <v>4.9</v>
      </c>
      <c r="H33" s="16">
        <v>230</v>
      </c>
      <c r="I33" s="16">
        <f>60*1+53.56</f>
        <v>113.56</v>
      </c>
      <c r="J33" s="6">
        <v>1034</v>
      </c>
      <c r="K33" s="6">
        <f t="shared" si="0"/>
        <v>230</v>
      </c>
      <c r="L33" s="6">
        <f t="shared" si="1"/>
        <v>118.46</v>
      </c>
      <c r="M33" s="6">
        <v>31</v>
      </c>
      <c r="N33" s="11" t="s">
        <v>179</v>
      </c>
    </row>
    <row r="34" ht="25" customHeight="1" spans="1:14">
      <c r="A34" s="10">
        <v>32</v>
      </c>
      <c r="B34" s="16" t="s">
        <v>124</v>
      </c>
      <c r="C34" s="17" t="s">
        <v>333</v>
      </c>
      <c r="D34" s="18" t="s">
        <v>334</v>
      </c>
      <c r="E34" s="19" t="s">
        <v>335</v>
      </c>
      <c r="F34" s="16">
        <v>110</v>
      </c>
      <c r="G34" s="16">
        <f>60*3+15</f>
        <v>195</v>
      </c>
      <c r="H34" s="16">
        <v>110</v>
      </c>
      <c r="I34" s="16">
        <f>60*1+16.68</f>
        <v>76.68</v>
      </c>
      <c r="J34" s="6">
        <v>993</v>
      </c>
      <c r="K34" s="6">
        <f t="shared" si="0"/>
        <v>220</v>
      </c>
      <c r="L34" s="6">
        <f t="shared" si="1"/>
        <v>271.68</v>
      </c>
      <c r="M34" s="6">
        <v>32</v>
      </c>
      <c r="N34" s="11" t="s">
        <v>179</v>
      </c>
    </row>
    <row r="35" ht="25" customHeight="1" spans="1:14">
      <c r="A35" s="10">
        <v>33</v>
      </c>
      <c r="B35" s="6" t="s">
        <v>92</v>
      </c>
      <c r="C35" s="7" t="s">
        <v>336</v>
      </c>
      <c r="D35" s="8" t="s">
        <v>337</v>
      </c>
      <c r="E35" s="9" t="s">
        <v>338</v>
      </c>
      <c r="F35" s="6">
        <v>20</v>
      </c>
      <c r="G35" s="6">
        <f>60*3+30</f>
        <v>210</v>
      </c>
      <c r="H35" s="6">
        <v>200</v>
      </c>
      <c r="I35" s="6">
        <f>60*1+38.56</f>
        <v>98.56</v>
      </c>
      <c r="J35" s="6">
        <v>1008</v>
      </c>
      <c r="K35" s="6">
        <f t="shared" si="0"/>
        <v>220</v>
      </c>
      <c r="L35" s="6">
        <f t="shared" si="1"/>
        <v>308.56</v>
      </c>
      <c r="M35" s="6">
        <v>33</v>
      </c>
      <c r="N35" s="11" t="s">
        <v>179</v>
      </c>
    </row>
  </sheetData>
  <mergeCells count="1">
    <mergeCell ref="A1:N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C41" sqref="C41"/>
    </sheetView>
  </sheetViews>
  <sheetFormatPr defaultColWidth="9.14285714285714" defaultRowHeight="12.75"/>
  <cols>
    <col min="1" max="1" width="7" customWidth="1"/>
    <col min="3" max="3" width="38.1428571428571" customWidth="1"/>
    <col min="4" max="4" width="16.2857142857143" customWidth="1"/>
    <col min="5" max="5" width="13.7142857142857" style="1" customWidth="1"/>
  </cols>
  <sheetData>
    <row r="1" ht="32" customHeight="1" spans="1:14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34" customHeight="1" spans="1:14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5" t="s">
        <v>82</v>
      </c>
      <c r="K2" s="5" t="s">
        <v>83</v>
      </c>
      <c r="L2" s="5" t="s">
        <v>84</v>
      </c>
      <c r="M2" s="5" t="s">
        <v>85</v>
      </c>
      <c r="N2" s="5" t="s">
        <v>86</v>
      </c>
    </row>
    <row r="3" ht="25" customHeight="1" spans="1:14">
      <c r="A3" s="6">
        <v>1</v>
      </c>
      <c r="B3" s="6" t="s">
        <v>100</v>
      </c>
      <c r="C3" s="7" t="s">
        <v>339</v>
      </c>
      <c r="D3" s="8" t="s">
        <v>340</v>
      </c>
      <c r="E3" s="7" t="s">
        <v>341</v>
      </c>
      <c r="F3" s="6">
        <v>570</v>
      </c>
      <c r="G3" s="6">
        <f>60*3+3.9</f>
        <v>183.9</v>
      </c>
      <c r="H3" s="6">
        <v>620</v>
      </c>
      <c r="I3" s="6">
        <f>60*3+9.66</f>
        <v>189.66</v>
      </c>
      <c r="J3" s="6">
        <v>897</v>
      </c>
      <c r="K3" s="6">
        <f t="shared" ref="K3:K35" si="0">F3+H3</f>
        <v>1190</v>
      </c>
      <c r="L3" s="6">
        <f t="shared" ref="L3:L35" si="1">G3+I3</f>
        <v>373.56</v>
      </c>
      <c r="M3" s="6">
        <v>1</v>
      </c>
      <c r="N3" s="11" t="s">
        <v>91</v>
      </c>
    </row>
    <row r="4" ht="25" customHeight="1" spans="1:14">
      <c r="A4" s="6">
        <v>2</v>
      </c>
      <c r="B4" s="6" t="s">
        <v>259</v>
      </c>
      <c r="C4" s="7" t="s">
        <v>342</v>
      </c>
      <c r="D4" s="8" t="s">
        <v>343</v>
      </c>
      <c r="E4" s="9" t="s">
        <v>344</v>
      </c>
      <c r="F4" s="6">
        <v>520</v>
      </c>
      <c r="G4" s="6">
        <f t="shared" ref="G4:G7" si="2">60*3+30</f>
        <v>210</v>
      </c>
      <c r="H4" s="6">
        <v>570</v>
      </c>
      <c r="I4" s="6">
        <f>60*2+13.94</f>
        <v>133.94</v>
      </c>
      <c r="J4" s="6">
        <v>972</v>
      </c>
      <c r="K4" s="6">
        <f t="shared" si="0"/>
        <v>1090</v>
      </c>
      <c r="L4" s="6">
        <f t="shared" si="1"/>
        <v>343.94</v>
      </c>
      <c r="M4" s="6">
        <v>2</v>
      </c>
      <c r="N4" s="11" t="s">
        <v>91</v>
      </c>
    </row>
    <row r="5" ht="25" customHeight="1" spans="1:14">
      <c r="A5" s="6">
        <v>3</v>
      </c>
      <c r="B5" s="6" t="s">
        <v>345</v>
      </c>
      <c r="C5" s="7" t="s">
        <v>346</v>
      </c>
      <c r="D5" s="8" t="s">
        <v>347</v>
      </c>
      <c r="E5" s="7" t="s">
        <v>348</v>
      </c>
      <c r="F5" s="6">
        <v>530</v>
      </c>
      <c r="G5" s="6">
        <f>60*3+7.28</f>
        <v>187.28</v>
      </c>
      <c r="H5" s="6">
        <v>560</v>
      </c>
      <c r="I5" s="6">
        <f>60*3+13.5</f>
        <v>193.5</v>
      </c>
      <c r="J5" s="6">
        <v>1034</v>
      </c>
      <c r="K5" s="6">
        <f t="shared" si="0"/>
        <v>1090</v>
      </c>
      <c r="L5" s="6">
        <f t="shared" si="1"/>
        <v>380.78</v>
      </c>
      <c r="M5" s="6">
        <v>3</v>
      </c>
      <c r="N5" s="11" t="s">
        <v>91</v>
      </c>
    </row>
    <row r="6" ht="25" customHeight="1" spans="1:14">
      <c r="A6" s="6">
        <v>4</v>
      </c>
      <c r="B6" s="6" t="s">
        <v>107</v>
      </c>
      <c r="C6" s="7" t="s">
        <v>349</v>
      </c>
      <c r="D6" s="8" t="s">
        <v>350</v>
      </c>
      <c r="E6" s="9" t="s">
        <v>351</v>
      </c>
      <c r="F6" s="6">
        <v>520</v>
      </c>
      <c r="G6" s="6">
        <f t="shared" si="2"/>
        <v>210</v>
      </c>
      <c r="H6" s="6">
        <v>520</v>
      </c>
      <c r="I6" s="6">
        <f>60*2+27.22</f>
        <v>147.22</v>
      </c>
      <c r="J6" s="6">
        <v>1023</v>
      </c>
      <c r="K6" s="6">
        <f t="shared" si="0"/>
        <v>1040</v>
      </c>
      <c r="L6" s="6">
        <f t="shared" si="1"/>
        <v>357.22</v>
      </c>
      <c r="M6" s="6">
        <v>4</v>
      </c>
      <c r="N6" s="11" t="s">
        <v>91</v>
      </c>
    </row>
    <row r="7" ht="25" customHeight="1" spans="1:14">
      <c r="A7" s="6">
        <v>5</v>
      </c>
      <c r="B7" s="6" t="s">
        <v>111</v>
      </c>
      <c r="C7" s="7" t="s">
        <v>352</v>
      </c>
      <c r="D7" s="8" t="s">
        <v>353</v>
      </c>
      <c r="E7" s="7" t="s">
        <v>354</v>
      </c>
      <c r="F7" s="6">
        <v>520</v>
      </c>
      <c r="G7" s="6">
        <f t="shared" si="2"/>
        <v>210</v>
      </c>
      <c r="H7" s="6">
        <v>490</v>
      </c>
      <c r="I7" s="6">
        <f>60*3+6.59</f>
        <v>186.59</v>
      </c>
      <c r="J7" s="6">
        <v>905</v>
      </c>
      <c r="K7" s="6">
        <f t="shared" si="0"/>
        <v>1010</v>
      </c>
      <c r="L7" s="6">
        <f t="shared" si="1"/>
        <v>396.59</v>
      </c>
      <c r="M7" s="6">
        <v>5</v>
      </c>
      <c r="N7" s="11" t="s">
        <v>91</v>
      </c>
    </row>
    <row r="8" ht="25" customHeight="1" spans="1:14">
      <c r="A8" s="6">
        <v>6</v>
      </c>
      <c r="B8" s="6" t="s">
        <v>111</v>
      </c>
      <c r="C8" s="7" t="s">
        <v>355</v>
      </c>
      <c r="D8" s="8" t="s">
        <v>356</v>
      </c>
      <c r="E8" s="9" t="s">
        <v>357</v>
      </c>
      <c r="F8" s="6">
        <v>480</v>
      </c>
      <c r="G8" s="6">
        <f>60*3+20.78</f>
        <v>200.78</v>
      </c>
      <c r="H8" s="6">
        <v>530</v>
      </c>
      <c r="I8" s="6">
        <f>60*3+21.25</f>
        <v>201.25</v>
      </c>
      <c r="J8" s="6">
        <v>717</v>
      </c>
      <c r="K8" s="6">
        <f t="shared" si="0"/>
        <v>1010</v>
      </c>
      <c r="L8" s="6">
        <f t="shared" si="1"/>
        <v>402.03</v>
      </c>
      <c r="M8" s="6">
        <v>6</v>
      </c>
      <c r="N8" s="11" t="s">
        <v>123</v>
      </c>
    </row>
    <row r="9" ht="25" customHeight="1" spans="1:14">
      <c r="A9" s="6">
        <v>7</v>
      </c>
      <c r="B9" s="6" t="s">
        <v>100</v>
      </c>
      <c r="C9" s="7" t="s">
        <v>358</v>
      </c>
      <c r="D9" s="8" t="s">
        <v>359</v>
      </c>
      <c r="E9" s="7" t="s">
        <v>341</v>
      </c>
      <c r="F9" s="6">
        <v>520</v>
      </c>
      <c r="G9" s="6">
        <f>60*3+9.57</f>
        <v>189.57</v>
      </c>
      <c r="H9" s="6">
        <v>450</v>
      </c>
      <c r="I9" s="6">
        <f t="shared" ref="I9:I13" si="3">60*3+30</f>
        <v>210</v>
      </c>
      <c r="J9" s="6">
        <v>1049</v>
      </c>
      <c r="K9" s="6">
        <f t="shared" si="0"/>
        <v>970</v>
      </c>
      <c r="L9" s="6">
        <f t="shared" si="1"/>
        <v>399.57</v>
      </c>
      <c r="M9" s="6">
        <v>7</v>
      </c>
      <c r="N9" s="11" t="s">
        <v>123</v>
      </c>
    </row>
    <row r="10" ht="25" customHeight="1" spans="1:14">
      <c r="A10" s="6">
        <v>8</v>
      </c>
      <c r="B10" s="6" t="s">
        <v>175</v>
      </c>
      <c r="C10" s="7" t="s">
        <v>360</v>
      </c>
      <c r="D10" s="8" t="s">
        <v>361</v>
      </c>
      <c r="E10" s="9" t="s">
        <v>362</v>
      </c>
      <c r="F10" s="6">
        <v>540</v>
      </c>
      <c r="G10" s="6">
        <f>60*2+52.25</f>
        <v>172.25</v>
      </c>
      <c r="H10" s="6">
        <v>400</v>
      </c>
      <c r="I10" s="6">
        <f t="shared" si="3"/>
        <v>210</v>
      </c>
      <c r="J10" s="6">
        <v>1037</v>
      </c>
      <c r="K10" s="6">
        <f t="shared" si="0"/>
        <v>940</v>
      </c>
      <c r="L10" s="6">
        <f t="shared" si="1"/>
        <v>382.25</v>
      </c>
      <c r="M10" s="6">
        <v>8</v>
      </c>
      <c r="N10" s="11" t="s">
        <v>123</v>
      </c>
    </row>
    <row r="11" ht="25" customHeight="1" spans="1:14">
      <c r="A11" s="6">
        <v>9</v>
      </c>
      <c r="B11" s="6" t="s">
        <v>140</v>
      </c>
      <c r="C11" s="7" t="s">
        <v>363</v>
      </c>
      <c r="D11" s="8" t="s">
        <v>364</v>
      </c>
      <c r="E11" s="9" t="s">
        <v>365</v>
      </c>
      <c r="F11" s="6">
        <v>460</v>
      </c>
      <c r="G11" s="6">
        <f>60*3+11.97</f>
        <v>191.97</v>
      </c>
      <c r="H11" s="6">
        <v>470</v>
      </c>
      <c r="I11" s="6">
        <f>60*2+47.78</f>
        <v>167.78</v>
      </c>
      <c r="J11" s="6">
        <v>1003</v>
      </c>
      <c r="K11" s="6">
        <f t="shared" si="0"/>
        <v>930</v>
      </c>
      <c r="L11" s="6">
        <f t="shared" si="1"/>
        <v>359.75</v>
      </c>
      <c r="M11" s="6">
        <v>9</v>
      </c>
      <c r="N11" s="11" t="s">
        <v>123</v>
      </c>
    </row>
    <row r="12" ht="25" customHeight="1" spans="1:14">
      <c r="A12" s="6">
        <v>10</v>
      </c>
      <c r="B12" s="6" t="s">
        <v>259</v>
      </c>
      <c r="C12" s="7" t="s">
        <v>366</v>
      </c>
      <c r="D12" s="8" t="s">
        <v>367</v>
      </c>
      <c r="E12" s="9" t="s">
        <v>368</v>
      </c>
      <c r="F12" s="6">
        <v>300</v>
      </c>
      <c r="G12" s="6">
        <f>60*2+3.66</f>
        <v>123.66</v>
      </c>
      <c r="H12" s="6">
        <v>570</v>
      </c>
      <c r="I12" s="6">
        <f>60*3+26.28</f>
        <v>206.28</v>
      </c>
      <c r="J12" s="6">
        <v>1020</v>
      </c>
      <c r="K12" s="6">
        <f t="shared" si="0"/>
        <v>870</v>
      </c>
      <c r="L12" s="6">
        <f t="shared" si="1"/>
        <v>329.94</v>
      </c>
      <c r="M12" s="6">
        <v>10</v>
      </c>
      <c r="N12" s="11" t="s">
        <v>123</v>
      </c>
    </row>
    <row r="13" ht="25" customHeight="1" spans="1:14">
      <c r="A13" s="6">
        <v>11</v>
      </c>
      <c r="B13" s="6" t="s">
        <v>259</v>
      </c>
      <c r="C13" s="7" t="s">
        <v>369</v>
      </c>
      <c r="D13" s="8" t="s">
        <v>370</v>
      </c>
      <c r="E13" s="9" t="s">
        <v>371</v>
      </c>
      <c r="F13" s="6">
        <v>430</v>
      </c>
      <c r="G13" s="6">
        <f>60*3</f>
        <v>180</v>
      </c>
      <c r="H13" s="6">
        <v>430</v>
      </c>
      <c r="I13" s="6">
        <f t="shared" si="3"/>
        <v>210</v>
      </c>
      <c r="J13" s="6">
        <v>998</v>
      </c>
      <c r="K13" s="6">
        <f t="shared" si="0"/>
        <v>860</v>
      </c>
      <c r="L13" s="6">
        <f t="shared" si="1"/>
        <v>390</v>
      </c>
      <c r="M13" s="6">
        <v>11</v>
      </c>
      <c r="N13" s="11" t="s">
        <v>123</v>
      </c>
    </row>
    <row r="14" ht="25" customHeight="1" spans="1:14">
      <c r="A14" s="6">
        <v>12</v>
      </c>
      <c r="B14" s="6" t="s">
        <v>107</v>
      </c>
      <c r="C14" s="7" t="s">
        <v>372</v>
      </c>
      <c r="D14" s="8" t="s">
        <v>373</v>
      </c>
      <c r="E14" s="9" t="s">
        <v>374</v>
      </c>
      <c r="F14" s="6">
        <v>280</v>
      </c>
      <c r="G14" s="6">
        <f>60*2+41.81</f>
        <v>161.81</v>
      </c>
      <c r="H14" s="6">
        <v>480</v>
      </c>
      <c r="I14" s="6">
        <f>60*2+25.59</f>
        <v>145.59</v>
      </c>
      <c r="J14" s="6">
        <v>795</v>
      </c>
      <c r="K14" s="6">
        <f t="shared" si="0"/>
        <v>760</v>
      </c>
      <c r="L14" s="6">
        <f t="shared" si="1"/>
        <v>307.4</v>
      </c>
      <c r="M14" s="6">
        <v>12</v>
      </c>
      <c r="N14" s="11" t="s">
        <v>123</v>
      </c>
    </row>
    <row r="15" ht="25" customHeight="1" spans="1:14">
      <c r="A15" s="6">
        <v>13</v>
      </c>
      <c r="B15" s="6" t="s">
        <v>284</v>
      </c>
      <c r="C15" s="7" t="s">
        <v>375</v>
      </c>
      <c r="D15" s="8" t="s">
        <v>376</v>
      </c>
      <c r="E15" s="9" t="s">
        <v>377</v>
      </c>
      <c r="F15" s="6">
        <v>300</v>
      </c>
      <c r="G15" s="6">
        <f>60*3+25.75</f>
        <v>205.75</v>
      </c>
      <c r="H15" s="6">
        <v>400</v>
      </c>
      <c r="I15" s="6">
        <f>60*3+0.28</f>
        <v>180.28</v>
      </c>
      <c r="J15" s="6">
        <v>763</v>
      </c>
      <c r="K15" s="6">
        <f t="shared" si="0"/>
        <v>700</v>
      </c>
      <c r="L15" s="6">
        <f t="shared" si="1"/>
        <v>386.03</v>
      </c>
      <c r="M15" s="6">
        <v>13</v>
      </c>
      <c r="N15" s="11" t="s">
        <v>123</v>
      </c>
    </row>
    <row r="16" ht="25" customHeight="1" spans="1:14">
      <c r="A16" s="6">
        <v>14</v>
      </c>
      <c r="B16" s="6" t="s">
        <v>111</v>
      </c>
      <c r="C16" s="7" t="s">
        <v>378</v>
      </c>
      <c r="D16" s="8" t="s">
        <v>379</v>
      </c>
      <c r="E16" s="9" t="s">
        <v>380</v>
      </c>
      <c r="F16" s="6">
        <v>340</v>
      </c>
      <c r="G16" s="6">
        <f>60*3+30</f>
        <v>210</v>
      </c>
      <c r="H16" s="6">
        <v>340</v>
      </c>
      <c r="I16" s="6">
        <f t="shared" ref="I16:I18" si="4">60*3+30</f>
        <v>210</v>
      </c>
      <c r="J16" s="6">
        <v>956</v>
      </c>
      <c r="K16" s="6">
        <f t="shared" si="0"/>
        <v>680</v>
      </c>
      <c r="L16" s="6">
        <f t="shared" si="1"/>
        <v>420</v>
      </c>
      <c r="M16" s="6">
        <v>14</v>
      </c>
      <c r="N16" s="11" t="s">
        <v>123</v>
      </c>
    </row>
    <row r="17" ht="25" customHeight="1" spans="1:14">
      <c r="A17" s="6">
        <v>15</v>
      </c>
      <c r="B17" s="6" t="s">
        <v>284</v>
      </c>
      <c r="C17" s="7" t="s">
        <v>381</v>
      </c>
      <c r="D17" s="8" t="s">
        <v>382</v>
      </c>
      <c r="E17" s="9" t="s">
        <v>377</v>
      </c>
      <c r="F17" s="6">
        <v>340</v>
      </c>
      <c r="G17" s="6">
        <f>60*3+8.75</f>
        <v>188.75</v>
      </c>
      <c r="H17" s="6">
        <v>310</v>
      </c>
      <c r="I17" s="6">
        <f t="shared" si="4"/>
        <v>210</v>
      </c>
      <c r="J17" s="6">
        <v>1106</v>
      </c>
      <c r="K17" s="6">
        <f t="shared" si="0"/>
        <v>650</v>
      </c>
      <c r="L17" s="6">
        <f t="shared" si="1"/>
        <v>398.75</v>
      </c>
      <c r="M17" s="6">
        <v>15</v>
      </c>
      <c r="N17" s="11" t="s">
        <v>123</v>
      </c>
    </row>
    <row r="18" ht="25" customHeight="1" spans="1:14">
      <c r="A18" s="6">
        <v>16</v>
      </c>
      <c r="B18" s="6" t="s">
        <v>115</v>
      </c>
      <c r="C18" s="7" t="s">
        <v>383</v>
      </c>
      <c r="D18" s="8" t="s">
        <v>384</v>
      </c>
      <c r="E18" s="9" t="s">
        <v>385</v>
      </c>
      <c r="F18" s="6">
        <v>340</v>
      </c>
      <c r="G18" s="6">
        <f>60*3+21.88</f>
        <v>201.88</v>
      </c>
      <c r="H18" s="6">
        <v>280</v>
      </c>
      <c r="I18" s="6">
        <f t="shared" si="4"/>
        <v>210</v>
      </c>
      <c r="J18" s="6">
        <v>1040</v>
      </c>
      <c r="K18" s="6">
        <f t="shared" si="0"/>
        <v>620</v>
      </c>
      <c r="L18" s="6">
        <f t="shared" si="1"/>
        <v>411.88</v>
      </c>
      <c r="M18" s="6">
        <v>16</v>
      </c>
      <c r="N18" s="11" t="s">
        <v>123</v>
      </c>
    </row>
    <row r="19" ht="25" customHeight="1" spans="1:14">
      <c r="A19" s="6">
        <v>17</v>
      </c>
      <c r="B19" s="6" t="s">
        <v>386</v>
      </c>
      <c r="C19" s="7" t="s">
        <v>387</v>
      </c>
      <c r="D19" s="8" t="s">
        <v>388</v>
      </c>
      <c r="E19" s="9" t="s">
        <v>389</v>
      </c>
      <c r="F19" s="6">
        <v>370</v>
      </c>
      <c r="G19" s="6">
        <f>60*1+44.88</f>
        <v>104.88</v>
      </c>
      <c r="H19" s="6">
        <v>230</v>
      </c>
      <c r="I19" s="6">
        <f>60*1+4.07</f>
        <v>64.07</v>
      </c>
      <c r="J19" s="6">
        <v>942</v>
      </c>
      <c r="K19" s="6">
        <f t="shared" si="0"/>
        <v>600</v>
      </c>
      <c r="L19" s="6">
        <f t="shared" si="1"/>
        <v>168.95</v>
      </c>
      <c r="M19" s="6">
        <v>17</v>
      </c>
      <c r="N19" s="11" t="s">
        <v>123</v>
      </c>
    </row>
    <row r="20" ht="25" customHeight="1" spans="1:14">
      <c r="A20" s="6">
        <v>18</v>
      </c>
      <c r="B20" s="6" t="s">
        <v>124</v>
      </c>
      <c r="C20" s="7" t="s">
        <v>390</v>
      </c>
      <c r="D20" s="8" t="s">
        <v>391</v>
      </c>
      <c r="E20" s="7" t="s">
        <v>392</v>
      </c>
      <c r="F20" s="6">
        <v>260</v>
      </c>
      <c r="G20" s="6">
        <f>60*3+12.41</f>
        <v>192.41</v>
      </c>
      <c r="H20" s="6">
        <v>330</v>
      </c>
      <c r="I20" s="6">
        <f>60*3+19.53</f>
        <v>199.53</v>
      </c>
      <c r="J20" s="6">
        <v>979</v>
      </c>
      <c r="K20" s="6">
        <f t="shared" si="0"/>
        <v>590</v>
      </c>
      <c r="L20" s="6">
        <f t="shared" si="1"/>
        <v>391.94</v>
      </c>
      <c r="M20" s="6">
        <v>18</v>
      </c>
      <c r="N20" s="11" t="s">
        <v>179</v>
      </c>
    </row>
    <row r="21" ht="25" customHeight="1" spans="1:14">
      <c r="A21" s="6">
        <v>19</v>
      </c>
      <c r="B21" s="6" t="s">
        <v>140</v>
      </c>
      <c r="C21" s="7" t="s">
        <v>393</v>
      </c>
      <c r="D21" s="8" t="s">
        <v>394</v>
      </c>
      <c r="E21" s="9" t="s">
        <v>395</v>
      </c>
      <c r="F21" s="6">
        <v>160</v>
      </c>
      <c r="G21" s="6">
        <f>60*2+49.63</f>
        <v>169.63</v>
      </c>
      <c r="H21" s="6">
        <v>390</v>
      </c>
      <c r="I21" s="6">
        <f>60*3+30</f>
        <v>210</v>
      </c>
      <c r="J21" s="6">
        <v>998</v>
      </c>
      <c r="K21" s="6">
        <f t="shared" si="0"/>
        <v>550</v>
      </c>
      <c r="L21" s="6">
        <f t="shared" si="1"/>
        <v>379.63</v>
      </c>
      <c r="M21" s="6">
        <v>19</v>
      </c>
      <c r="N21" s="11" t="s">
        <v>179</v>
      </c>
    </row>
    <row r="22" ht="25" customHeight="1" spans="1:14">
      <c r="A22" s="6">
        <v>20</v>
      </c>
      <c r="B22" s="6" t="s">
        <v>140</v>
      </c>
      <c r="C22" s="7" t="s">
        <v>396</v>
      </c>
      <c r="D22" s="8" t="s">
        <v>397</v>
      </c>
      <c r="E22" s="9" t="s">
        <v>395</v>
      </c>
      <c r="F22" s="6">
        <v>270</v>
      </c>
      <c r="G22" s="6">
        <f>60*3+30</f>
        <v>210</v>
      </c>
      <c r="H22" s="6">
        <v>280</v>
      </c>
      <c r="I22" s="6">
        <f>60*3+9.6</f>
        <v>189.6</v>
      </c>
      <c r="J22" s="6">
        <v>1030</v>
      </c>
      <c r="K22" s="6">
        <f t="shared" si="0"/>
        <v>550</v>
      </c>
      <c r="L22" s="6">
        <f t="shared" si="1"/>
        <v>399.6</v>
      </c>
      <c r="M22" s="6">
        <v>20</v>
      </c>
      <c r="N22" s="11" t="s">
        <v>179</v>
      </c>
    </row>
    <row r="23" ht="25" customHeight="1" spans="1:14">
      <c r="A23" s="6">
        <v>21</v>
      </c>
      <c r="B23" s="6" t="s">
        <v>284</v>
      </c>
      <c r="C23" s="7" t="s">
        <v>398</v>
      </c>
      <c r="D23" s="8" t="s">
        <v>399</v>
      </c>
      <c r="E23" s="9" t="s">
        <v>400</v>
      </c>
      <c r="F23" s="6">
        <v>230</v>
      </c>
      <c r="G23" s="6">
        <f>60*3+30</f>
        <v>210</v>
      </c>
      <c r="H23" s="6">
        <v>290</v>
      </c>
      <c r="I23" s="6">
        <f>60*3+30</f>
        <v>210</v>
      </c>
      <c r="J23" s="6">
        <v>1457</v>
      </c>
      <c r="K23" s="6">
        <f t="shared" si="0"/>
        <v>520</v>
      </c>
      <c r="L23" s="6">
        <f t="shared" si="1"/>
        <v>420</v>
      </c>
      <c r="M23" s="6">
        <v>21</v>
      </c>
      <c r="N23" s="11" t="s">
        <v>179</v>
      </c>
    </row>
    <row r="24" ht="25" customHeight="1" spans="1:14">
      <c r="A24" s="6">
        <v>22</v>
      </c>
      <c r="B24" s="6" t="s">
        <v>386</v>
      </c>
      <c r="C24" s="7" t="s">
        <v>401</v>
      </c>
      <c r="D24" s="8" t="s">
        <v>402</v>
      </c>
      <c r="E24" s="9" t="s">
        <v>403</v>
      </c>
      <c r="F24" s="6">
        <v>250</v>
      </c>
      <c r="G24" s="6">
        <f>60*3+26.16</f>
        <v>206.16</v>
      </c>
      <c r="H24" s="6">
        <v>250</v>
      </c>
      <c r="I24" s="6">
        <f>60*2+35.66</f>
        <v>155.66</v>
      </c>
      <c r="J24" s="6">
        <v>1038</v>
      </c>
      <c r="K24" s="6">
        <f t="shared" si="0"/>
        <v>500</v>
      </c>
      <c r="L24" s="6">
        <f t="shared" si="1"/>
        <v>361.82</v>
      </c>
      <c r="M24" s="6">
        <v>22</v>
      </c>
      <c r="N24" s="11" t="s">
        <v>179</v>
      </c>
    </row>
    <row r="25" ht="25" customHeight="1" spans="1:14">
      <c r="A25" s="6">
        <v>23</v>
      </c>
      <c r="B25" s="6" t="s">
        <v>124</v>
      </c>
      <c r="C25" s="7" t="s">
        <v>404</v>
      </c>
      <c r="D25" s="8" t="s">
        <v>405</v>
      </c>
      <c r="E25" s="9" t="s">
        <v>406</v>
      </c>
      <c r="F25" s="6">
        <v>250</v>
      </c>
      <c r="G25" s="6">
        <f>60*1+39.47</f>
        <v>99.47</v>
      </c>
      <c r="H25" s="6">
        <v>240</v>
      </c>
      <c r="I25" s="6">
        <f>60*1+3.94</f>
        <v>63.94</v>
      </c>
      <c r="J25" s="6">
        <v>1017</v>
      </c>
      <c r="K25" s="6">
        <f t="shared" si="0"/>
        <v>490</v>
      </c>
      <c r="L25" s="6">
        <f t="shared" si="1"/>
        <v>163.41</v>
      </c>
      <c r="M25" s="6">
        <v>23</v>
      </c>
      <c r="N25" s="11" t="s">
        <v>179</v>
      </c>
    </row>
    <row r="26" ht="25" customHeight="1" spans="1:14">
      <c r="A26" s="6">
        <v>24</v>
      </c>
      <c r="B26" s="6" t="s">
        <v>124</v>
      </c>
      <c r="C26" s="7" t="s">
        <v>407</v>
      </c>
      <c r="D26" s="8" t="s">
        <v>408</v>
      </c>
      <c r="E26" s="9" t="s">
        <v>406</v>
      </c>
      <c r="F26" s="6">
        <v>200</v>
      </c>
      <c r="G26" s="6">
        <f>60*3+18.07</f>
        <v>198.07</v>
      </c>
      <c r="H26" s="6">
        <v>230</v>
      </c>
      <c r="I26" s="6">
        <f>60*2+21.94</f>
        <v>141.94</v>
      </c>
      <c r="J26" s="6">
        <v>1032</v>
      </c>
      <c r="K26" s="6">
        <f t="shared" si="0"/>
        <v>430</v>
      </c>
      <c r="L26" s="6">
        <f t="shared" si="1"/>
        <v>340.01</v>
      </c>
      <c r="M26" s="6">
        <v>24</v>
      </c>
      <c r="N26" s="11" t="s">
        <v>179</v>
      </c>
    </row>
    <row r="27" ht="25" customHeight="1" spans="1:14">
      <c r="A27" s="6">
        <v>25</v>
      </c>
      <c r="B27" s="6" t="s">
        <v>386</v>
      </c>
      <c r="C27" s="7" t="s">
        <v>409</v>
      </c>
      <c r="D27" s="8" t="s">
        <v>410</v>
      </c>
      <c r="E27" s="9" t="s">
        <v>411</v>
      </c>
      <c r="F27" s="6">
        <v>40</v>
      </c>
      <c r="G27" s="6">
        <f>60*1+47.43</f>
        <v>107.43</v>
      </c>
      <c r="H27" s="6">
        <v>280</v>
      </c>
      <c r="I27" s="6">
        <f>60*2+3.47</f>
        <v>123.47</v>
      </c>
      <c r="J27" s="6">
        <v>984</v>
      </c>
      <c r="K27" s="6">
        <f t="shared" si="0"/>
        <v>320</v>
      </c>
      <c r="L27" s="6">
        <f t="shared" si="1"/>
        <v>230.9</v>
      </c>
      <c r="M27" s="6">
        <v>25</v>
      </c>
      <c r="N27" s="11" t="s">
        <v>179</v>
      </c>
    </row>
    <row r="28" ht="25" customHeight="1" spans="1:14">
      <c r="A28" s="6">
        <v>26</v>
      </c>
      <c r="B28" s="6" t="s">
        <v>96</v>
      </c>
      <c r="C28" s="7" t="s">
        <v>412</v>
      </c>
      <c r="D28" s="8" t="s">
        <v>413</v>
      </c>
      <c r="E28" s="9" t="s">
        <v>414</v>
      </c>
      <c r="F28" s="6">
        <v>280</v>
      </c>
      <c r="G28" s="6">
        <f>60*1+34.06</f>
        <v>94.06</v>
      </c>
      <c r="H28" s="6">
        <v>20</v>
      </c>
      <c r="I28" s="6">
        <f>60*1+36.85</f>
        <v>96.85</v>
      </c>
      <c r="J28" s="6">
        <v>1024</v>
      </c>
      <c r="K28" s="6">
        <f t="shared" si="0"/>
        <v>300</v>
      </c>
      <c r="L28" s="6">
        <f t="shared" si="1"/>
        <v>190.91</v>
      </c>
      <c r="M28" s="6">
        <v>26</v>
      </c>
      <c r="N28" s="11" t="s">
        <v>179</v>
      </c>
    </row>
    <row r="29" ht="25" customHeight="1" spans="1:14">
      <c r="A29" s="6">
        <v>27</v>
      </c>
      <c r="B29" s="6" t="s">
        <v>386</v>
      </c>
      <c r="C29" s="7" t="s">
        <v>415</v>
      </c>
      <c r="D29" s="8" t="s">
        <v>416</v>
      </c>
      <c r="E29" s="9" t="s">
        <v>417</v>
      </c>
      <c r="F29" s="6">
        <v>40</v>
      </c>
      <c r="G29" s="6">
        <f>25.41</f>
        <v>25.41</v>
      </c>
      <c r="H29" s="6">
        <v>200</v>
      </c>
      <c r="I29" s="6">
        <f>60*1+46.37</f>
        <v>106.37</v>
      </c>
      <c r="J29" s="6">
        <v>1016</v>
      </c>
      <c r="K29" s="6">
        <f t="shared" si="0"/>
        <v>240</v>
      </c>
      <c r="L29" s="6">
        <f t="shared" si="1"/>
        <v>131.78</v>
      </c>
      <c r="M29" s="6">
        <v>27</v>
      </c>
      <c r="N29" s="11" t="s">
        <v>179</v>
      </c>
    </row>
    <row r="30" ht="25" customHeight="1" spans="1:14">
      <c r="A30" s="6">
        <v>28</v>
      </c>
      <c r="B30" s="6" t="s">
        <v>175</v>
      </c>
      <c r="C30" s="7" t="s">
        <v>418</v>
      </c>
      <c r="D30" s="8" t="s">
        <v>419</v>
      </c>
      <c r="E30" s="7" t="s">
        <v>420</v>
      </c>
      <c r="F30" s="6">
        <v>40</v>
      </c>
      <c r="G30" s="6">
        <f>60*1+9.41</f>
        <v>69.41</v>
      </c>
      <c r="H30" s="6">
        <v>150</v>
      </c>
      <c r="I30" s="6">
        <f>60*2+44.59</f>
        <v>164.59</v>
      </c>
      <c r="J30" s="6">
        <v>1029</v>
      </c>
      <c r="K30" s="6">
        <f t="shared" si="0"/>
        <v>190</v>
      </c>
      <c r="L30" s="6">
        <f t="shared" si="1"/>
        <v>234</v>
      </c>
      <c r="M30" s="6">
        <v>28</v>
      </c>
      <c r="N30" s="11" t="s">
        <v>179</v>
      </c>
    </row>
    <row r="31" ht="25" customHeight="1" spans="1:14">
      <c r="A31" s="6">
        <v>29</v>
      </c>
      <c r="B31" s="6" t="s">
        <v>115</v>
      </c>
      <c r="C31" s="7" t="s">
        <v>421</v>
      </c>
      <c r="D31" s="8" t="s">
        <v>422</v>
      </c>
      <c r="E31" s="9" t="s">
        <v>423</v>
      </c>
      <c r="F31" s="6">
        <v>80</v>
      </c>
      <c r="G31" s="6">
        <f>45.16</f>
        <v>45.16</v>
      </c>
      <c r="H31" s="6">
        <v>80</v>
      </c>
      <c r="I31" s="6">
        <f>53.5</f>
        <v>53.5</v>
      </c>
      <c r="J31" s="6">
        <v>1096</v>
      </c>
      <c r="K31" s="6">
        <f t="shared" si="0"/>
        <v>160</v>
      </c>
      <c r="L31" s="6">
        <f t="shared" si="1"/>
        <v>98.66</v>
      </c>
      <c r="M31" s="6">
        <v>29</v>
      </c>
      <c r="N31" s="11" t="s">
        <v>179</v>
      </c>
    </row>
    <row r="32" ht="25" customHeight="1" spans="1:14">
      <c r="A32" s="6">
        <v>30</v>
      </c>
      <c r="B32" s="6" t="s">
        <v>190</v>
      </c>
      <c r="C32" s="7" t="s">
        <v>424</v>
      </c>
      <c r="D32" s="8" t="s">
        <v>425</v>
      </c>
      <c r="E32" s="9" t="s">
        <v>426</v>
      </c>
      <c r="F32" s="6">
        <v>0</v>
      </c>
      <c r="G32" s="6">
        <f>60*1+8.66</f>
        <v>68.66</v>
      </c>
      <c r="H32" s="6">
        <v>120</v>
      </c>
      <c r="I32" s="6">
        <f>60*1+30.56</f>
        <v>90.56</v>
      </c>
      <c r="J32" s="6">
        <v>985</v>
      </c>
      <c r="K32" s="6">
        <f t="shared" si="0"/>
        <v>120</v>
      </c>
      <c r="L32" s="6">
        <f t="shared" si="1"/>
        <v>159.22</v>
      </c>
      <c r="M32" s="6">
        <v>30</v>
      </c>
      <c r="N32" s="11" t="s">
        <v>179</v>
      </c>
    </row>
    <row r="33" ht="25" customHeight="1" spans="1:14">
      <c r="A33" s="6">
        <v>31</v>
      </c>
      <c r="B33" s="6" t="s">
        <v>175</v>
      </c>
      <c r="C33" s="7" t="s">
        <v>427</v>
      </c>
      <c r="D33" s="8" t="s">
        <v>428</v>
      </c>
      <c r="E33" s="9" t="s">
        <v>429</v>
      </c>
      <c r="F33" s="6">
        <v>40</v>
      </c>
      <c r="G33" s="6">
        <f>60*3+14.62</f>
        <v>194.62</v>
      </c>
      <c r="H33" s="6">
        <v>40</v>
      </c>
      <c r="I33" s="6">
        <f>60*3+30</f>
        <v>210</v>
      </c>
      <c r="J33" s="6">
        <v>984</v>
      </c>
      <c r="K33" s="6">
        <f t="shared" si="0"/>
        <v>80</v>
      </c>
      <c r="L33" s="6">
        <f t="shared" si="1"/>
        <v>404.62</v>
      </c>
      <c r="M33" s="6">
        <v>31</v>
      </c>
      <c r="N33" s="11" t="s">
        <v>179</v>
      </c>
    </row>
    <row r="34" ht="25" customHeight="1" spans="1:14">
      <c r="A34" s="6">
        <v>32</v>
      </c>
      <c r="B34" s="6" t="s">
        <v>96</v>
      </c>
      <c r="C34" s="7" t="s">
        <v>430</v>
      </c>
      <c r="D34" s="8" t="s">
        <v>431</v>
      </c>
      <c r="E34" s="9" t="s">
        <v>432</v>
      </c>
      <c r="F34" s="6">
        <v>0</v>
      </c>
      <c r="G34" s="6">
        <v>0.001</v>
      </c>
      <c r="H34" s="6">
        <v>40</v>
      </c>
      <c r="I34" s="6">
        <f>60*3+30</f>
        <v>210</v>
      </c>
      <c r="J34" s="6">
        <v>936</v>
      </c>
      <c r="K34" s="6">
        <f t="shared" si="0"/>
        <v>40</v>
      </c>
      <c r="L34" s="6">
        <f t="shared" si="1"/>
        <v>210.001</v>
      </c>
      <c r="M34" s="6">
        <v>32</v>
      </c>
      <c r="N34" s="11" t="s">
        <v>179</v>
      </c>
    </row>
    <row r="35" ht="25" customHeight="1" spans="1:14">
      <c r="A35" s="10">
        <v>33</v>
      </c>
      <c r="B35" s="6" t="s">
        <v>175</v>
      </c>
      <c r="C35" s="7" t="s">
        <v>433</v>
      </c>
      <c r="D35" s="8" t="s">
        <v>434</v>
      </c>
      <c r="E35" s="9" t="s">
        <v>435</v>
      </c>
      <c r="F35" s="6">
        <v>40</v>
      </c>
      <c r="G35" s="6">
        <f>60*3+30</f>
        <v>210</v>
      </c>
      <c r="H35" s="6">
        <v>0</v>
      </c>
      <c r="I35" s="6">
        <f>60*3+10.75</f>
        <v>190.75</v>
      </c>
      <c r="J35" s="6">
        <v>1090</v>
      </c>
      <c r="K35" s="6">
        <f t="shared" si="0"/>
        <v>40</v>
      </c>
      <c r="L35" s="6">
        <f t="shared" si="1"/>
        <v>400.75</v>
      </c>
      <c r="M35" s="6">
        <v>33</v>
      </c>
      <c r="N35" s="11" t="s">
        <v>179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贴桌面</vt:lpstr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2023-07-06T12:51:00Z</dcterms:created>
  <cp:lastPrinted>2024-07-16T07:36:00Z</cp:lastPrinted>
  <dcterms:modified xsi:type="dcterms:W3CDTF">2024-07-30T06:33:10Z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B8E00DB27C244DDF8A5ACE3D5DECADE8_13</vt:lpwstr>
  </property>
  <property fmtid="{D5CDD505-2E9C-101B-9397-08002B2CF9AE}" pid="3" name="KSOProductBuildVer">
    <vt:lpwstr>2052-12.1.0.15120</vt:lpwstr>
  </property>
</Properties>
</file>